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2"/>
  </bookViews>
  <sheets>
    <sheet name="куб в час" sheetId="1" r:id="rId1"/>
    <sheet name="л в мин" sheetId="2" r:id="rId2"/>
    <sheet name="Импульсы" sheetId="3" r:id="rId3"/>
  </sheets>
  <definedNames/>
  <calcPr fullCalcOnLoad="1"/>
</workbook>
</file>

<file path=xl/sharedStrings.xml><?xml version="1.0" encoding="utf-8"?>
<sst xmlns="http://schemas.openxmlformats.org/spreadsheetml/2006/main" count="117" uniqueCount="67">
  <si>
    <t>X</t>
  </si>
  <si>
    <t>1/Q^2</t>
  </si>
  <si>
    <t>X/Q</t>
  </si>
  <si>
    <t>X/Q^2</t>
  </si>
  <si>
    <t>X^2/Q^2</t>
  </si>
  <si>
    <t>A</t>
  </si>
  <si>
    <t>B</t>
  </si>
  <si>
    <t>C</t>
  </si>
  <si>
    <t>D</t>
  </si>
  <si>
    <t>E</t>
  </si>
  <si>
    <t>K=</t>
  </si>
  <si>
    <t>P=</t>
  </si>
  <si>
    <t>Суммы коэффициентов</t>
  </si>
  <si>
    <t>Рассчитанные значения</t>
  </si>
  <si>
    <t>Погрешность</t>
  </si>
  <si>
    <t>Q расчетное</t>
  </si>
  <si>
    <t>Работа с программой расчета коэффициентов</t>
  </si>
  <si>
    <t>2. Для точек, участвующих в расчете коэффициентов, проставить в графе «Участие в расчетах» ненулевое значение, например, 1</t>
  </si>
  <si>
    <t xml:space="preserve">3. В ячейках «рассчитанные значения» взять К и Р.  </t>
  </si>
  <si>
    <t>4. В графах Q расчетное и Погрешность выводятся расчетные значения расхода и погрешности, как если бы рассчитанные значения К и Р были занесены в расходомер</t>
  </si>
  <si>
    <t>Исходная погрешность</t>
  </si>
  <si>
    <t>Расчет калибровочных коэффициентов для электромагнитного расходомера</t>
  </si>
  <si>
    <t>Дата</t>
  </si>
  <si>
    <t>Заводской номер</t>
  </si>
  <si>
    <t>Исходные калибровочные коэффициенты</t>
  </si>
  <si>
    <t>л/мин</t>
  </si>
  <si>
    <t>Объем по эталону, л</t>
  </si>
  <si>
    <t>Объем измеренный, л</t>
  </si>
  <si>
    <t>Расход по эталону, л/мин</t>
  </si>
  <si>
    <t>Ду</t>
  </si>
  <si>
    <t>мм</t>
  </si>
  <si>
    <t>Участие в расчетах (0/1)</t>
  </si>
  <si>
    <t>Расход измеренный, л/мин</t>
  </si>
  <si>
    <t>1/Qэт</t>
  </si>
  <si>
    <t>1. Заполнить поля, выделенные зеленым цветом</t>
  </si>
  <si>
    <t>Расход по эталону, куб.м/час</t>
  </si>
  <si>
    <t>Объем по эталону, куб.м</t>
  </si>
  <si>
    <t>Объем измеренный, куб.м</t>
  </si>
  <si>
    <t>Расчетная погрешность</t>
  </si>
  <si>
    <t>Расход расчетный, л/мин</t>
  </si>
  <si>
    <t>2. Для точек, участвующих в расчете коэффициентов, проставить в графе «Участие в расчетах» 1, для исключенных - 0</t>
  </si>
  <si>
    <t>4. Проверить расчетные значения расхода и погрешности, если бы рассчитанные значения К и Р были занесены в расходомер исходно</t>
  </si>
  <si>
    <t>1. Заполнить поля, выделенные зеленым цветом, остальное рассчитается автоматически</t>
  </si>
  <si>
    <t>Рассчитанные калибровочные коэффициенты</t>
  </si>
  <si>
    <t>3. В ячейках «рассчитанные калибровочные коэффициенты» взять К и Р для записи в расходомер</t>
  </si>
  <si>
    <t>Таблица для расчета коэффициентов К и Р</t>
  </si>
  <si>
    <t>дата</t>
  </si>
  <si>
    <t>время</t>
  </si>
  <si>
    <t>T проливки, с</t>
  </si>
  <si>
    <t>К исх</t>
  </si>
  <si>
    <t>Р исх</t>
  </si>
  <si>
    <t>К пр, имп/л</t>
  </si>
  <si>
    <t>N</t>
  </si>
  <si>
    <t>Участие в расчетах</t>
  </si>
  <si>
    <t>Q изм</t>
  </si>
  <si>
    <t>Q эт</t>
  </si>
  <si>
    <t>1/Q</t>
  </si>
  <si>
    <t>1. Для каждой проливки занести в отдельную строку таблицы:</t>
  </si>
  <si>
    <t>a. дата</t>
  </si>
  <si>
    <t>b. время</t>
  </si>
  <si>
    <t>c. V эт – объем по эталону, л</t>
  </si>
  <si>
    <t>d. T проливки – время проливки в секундах</t>
  </si>
  <si>
    <t>e. К исх – коэффициент К в расходомере во время проливки</t>
  </si>
  <si>
    <t>f. Р исх – коэффициент Р в расходомере во время проливки</t>
  </si>
  <si>
    <t>g. Кпр – константа преобразования импульсов в литры, имп/ л</t>
  </si>
  <si>
    <t>h. N – количество импульсов за время проливки</t>
  </si>
  <si>
    <t>Объем эталоный, л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</si>
</sst>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0.000"/>
    <numFmt numFmtId="169" formatCode="[$-FC19]d\ mmmm\ yyyy\ &quot;г.&quot;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20" fontId="0" fillId="0" borderId="0" xfId="0" applyNumberFormat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0" fillId="0" borderId="12" xfId="0" applyBorder="1" applyAlignment="1">
      <alignment horizontal="right"/>
    </xf>
    <xf numFmtId="0" fontId="0" fillId="33" borderId="10" xfId="0" applyFill="1" applyBorder="1" applyAlignment="1">
      <alignment wrapText="1"/>
    </xf>
    <xf numFmtId="0" fontId="0" fillId="0" borderId="0" xfId="0" applyAlignment="1">
      <alignment horizontal="left"/>
    </xf>
    <xf numFmtId="0" fontId="0" fillId="34" borderId="0" xfId="0" applyFill="1" applyAlignment="1">
      <alignment/>
    </xf>
    <xf numFmtId="0" fontId="3" fillId="34" borderId="0" xfId="0" applyFont="1" applyFill="1" applyAlignment="1">
      <alignment horizontal="left"/>
    </xf>
    <xf numFmtId="0" fontId="3" fillId="34" borderId="0" xfId="0" applyFont="1" applyFill="1" applyAlignment="1">
      <alignment/>
    </xf>
    <xf numFmtId="0" fontId="3" fillId="35" borderId="10" xfId="0" applyFont="1" applyFill="1" applyBorder="1" applyAlignment="1">
      <alignment/>
    </xf>
    <xf numFmtId="0" fontId="0" fillId="36" borderId="10" xfId="0" applyFill="1" applyBorder="1" applyAlignment="1" applyProtection="1">
      <alignment/>
      <protection locked="0"/>
    </xf>
    <xf numFmtId="0" fontId="0" fillId="36" borderId="10" xfId="0" applyNumberFormat="1" applyFill="1" applyBorder="1" applyAlignment="1" applyProtection="1">
      <alignment/>
      <protection locked="0"/>
    </xf>
    <xf numFmtId="14" fontId="0" fillId="36" borderId="10" xfId="0" applyNumberFormat="1" applyFill="1" applyBorder="1" applyAlignment="1" applyProtection="1">
      <alignment/>
      <protection locked="0"/>
    </xf>
    <xf numFmtId="0" fontId="0" fillId="36" borderId="11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0" xfId="0" applyFill="1" applyBorder="1" applyAlignment="1" applyProtection="1">
      <alignment/>
      <protection/>
    </xf>
    <xf numFmtId="0" fontId="0" fillId="37" borderId="13" xfId="0" applyFill="1" applyBorder="1" applyAlignment="1">
      <alignment/>
    </xf>
    <xf numFmtId="0" fontId="0" fillId="37" borderId="13" xfId="0" applyFill="1" applyBorder="1" applyAlignment="1">
      <alignment wrapText="1"/>
    </xf>
    <xf numFmtId="10" fontId="0" fillId="37" borderId="11" xfId="0" applyNumberFormat="1" applyFill="1" applyBorder="1" applyAlignment="1">
      <alignment/>
    </xf>
    <xf numFmtId="10" fontId="0" fillId="37" borderId="10" xfId="0" applyNumberFormat="1" applyFill="1" applyBorder="1" applyAlignment="1">
      <alignment/>
    </xf>
    <xf numFmtId="0" fontId="0" fillId="37" borderId="14" xfId="0" applyFill="1" applyBorder="1" applyAlignment="1">
      <alignment/>
    </xf>
    <xf numFmtId="0" fontId="0" fillId="37" borderId="15" xfId="0" applyFill="1" applyBorder="1" applyAlignment="1">
      <alignment/>
    </xf>
    <xf numFmtId="0" fontId="0" fillId="7" borderId="14" xfId="0" applyFill="1" applyBorder="1" applyAlignment="1">
      <alignment wrapText="1"/>
    </xf>
    <xf numFmtId="0" fontId="0" fillId="7" borderId="13" xfId="0" applyFill="1" applyBorder="1" applyAlignment="1">
      <alignment wrapText="1"/>
    </xf>
    <xf numFmtId="0" fontId="0" fillId="7" borderId="15" xfId="0" applyFill="1" applyBorder="1" applyAlignment="1">
      <alignment/>
    </xf>
    <xf numFmtId="10" fontId="0" fillId="7" borderId="11" xfId="0" applyNumberFormat="1" applyFill="1" applyBorder="1" applyAlignment="1">
      <alignment/>
    </xf>
    <xf numFmtId="10" fontId="0" fillId="7" borderId="10" xfId="0" applyNumberFormat="1" applyFill="1" applyBorder="1" applyAlignment="1">
      <alignment/>
    </xf>
    <xf numFmtId="0" fontId="0" fillId="0" borderId="10" xfId="0" applyBorder="1" applyAlignment="1" applyProtection="1">
      <alignment/>
      <protection/>
    </xf>
    <xf numFmtId="0" fontId="0" fillId="33" borderId="14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3" xfId="0" applyFill="1" applyBorder="1" applyAlignment="1">
      <alignment wrapText="1"/>
    </xf>
    <xf numFmtId="14" fontId="0" fillId="0" borderId="10" xfId="0" applyNumberFormat="1" applyBorder="1" applyAlignment="1" applyProtection="1">
      <alignment/>
      <protection locked="0"/>
    </xf>
    <xf numFmtId="2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0" fillId="33" borderId="15" xfId="0" applyFill="1" applyBorder="1" applyAlignment="1">
      <alignment/>
    </xf>
    <xf numFmtId="10" fontId="0" fillId="33" borderId="11" xfId="0" applyNumberFormat="1" applyFill="1" applyBorder="1" applyAlignment="1">
      <alignment/>
    </xf>
    <xf numFmtId="10" fontId="0" fillId="33" borderId="10" xfId="0" applyNumberFormat="1" applyFill="1" applyBorder="1" applyAlignment="1">
      <alignment/>
    </xf>
    <xf numFmtId="0" fontId="0" fillId="35" borderId="0" xfId="0" applyFill="1" applyAlignment="1">
      <alignment/>
    </xf>
    <xf numFmtId="0" fontId="1" fillId="0" borderId="0" xfId="0" applyFont="1" applyAlignment="1">
      <alignment horizontal="left" indent="2"/>
    </xf>
    <xf numFmtId="0" fontId="0" fillId="35" borderId="0" xfId="0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="110" zoomScaleNormal="110" zoomScalePageLayoutView="0" workbookViewId="0" topLeftCell="A1">
      <selection activeCell="C33" sqref="C33"/>
    </sheetView>
  </sheetViews>
  <sheetFormatPr defaultColWidth="9.00390625" defaultRowHeight="12.75"/>
  <cols>
    <col min="2" max="2" width="11.375" style="0" customWidth="1"/>
    <col min="3" max="3" width="18.125" style="0" customWidth="1"/>
    <col min="4" max="4" width="11.00390625" style="0" customWidth="1"/>
    <col min="5" max="5" width="12.25390625" style="0" customWidth="1"/>
    <col min="6" max="6" width="7.875" style="0" customWidth="1"/>
    <col min="7" max="7" width="12.375" style="0" customWidth="1"/>
    <col min="8" max="8" width="10.125" style="0" customWidth="1"/>
    <col min="9" max="9" width="10.25390625" style="0" bestFit="1" customWidth="1"/>
    <col min="11" max="11" width="12.625" style="0" customWidth="1"/>
    <col min="12" max="12" width="10.75390625" style="0" customWidth="1"/>
    <col min="13" max="13" width="12.25390625" style="0" customWidth="1"/>
    <col min="14" max="14" width="12.875" style="0" customWidth="1"/>
    <col min="20" max="20" width="12.625" style="0" customWidth="1"/>
    <col min="21" max="21" width="12.375" style="0" customWidth="1"/>
    <col min="22" max="22" width="13.25390625" style="0" customWidth="1"/>
  </cols>
  <sheetData>
    <row r="1" spans="1:6" ht="14.25">
      <c r="A1" s="12" t="s">
        <v>21</v>
      </c>
      <c r="B1" s="12"/>
      <c r="C1" s="12"/>
      <c r="D1" s="12"/>
      <c r="E1" s="12"/>
      <c r="F1" s="12"/>
    </row>
    <row r="2" spans="1:7" ht="12.75">
      <c r="A2" s="11" t="s">
        <v>22</v>
      </c>
      <c r="B2" s="22">
        <v>38545</v>
      </c>
      <c r="C2" s="11" t="s">
        <v>23</v>
      </c>
      <c r="D2" s="23">
        <v>50123</v>
      </c>
      <c r="E2" s="13" t="s">
        <v>29</v>
      </c>
      <c r="F2" s="24">
        <v>32</v>
      </c>
      <c r="G2" t="s">
        <v>30</v>
      </c>
    </row>
    <row r="3" spans="1:9" ht="12.75">
      <c r="A3" s="1" t="s">
        <v>24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1" t="s">
        <v>10</v>
      </c>
      <c r="B4" s="25">
        <v>2</v>
      </c>
      <c r="C4" s="1" t="s">
        <v>11</v>
      </c>
      <c r="D4" s="25">
        <v>0</v>
      </c>
      <c r="E4" s="1" t="s">
        <v>25</v>
      </c>
      <c r="F4" s="1"/>
      <c r="G4" s="1"/>
      <c r="H4" s="1"/>
      <c r="I4" s="1"/>
    </row>
    <row r="5" spans="1:14" ht="63.75">
      <c r="A5" s="5" t="s">
        <v>35</v>
      </c>
      <c r="B5" s="5" t="s">
        <v>36</v>
      </c>
      <c r="C5" s="5" t="s">
        <v>37</v>
      </c>
      <c r="D5" s="5" t="s">
        <v>31</v>
      </c>
      <c r="E5" s="14" t="s">
        <v>32</v>
      </c>
      <c r="F5" s="6" t="s">
        <v>0</v>
      </c>
      <c r="G5" s="6" t="s">
        <v>33</v>
      </c>
      <c r="H5" s="6" t="s">
        <v>1</v>
      </c>
      <c r="I5" s="6" t="s">
        <v>2</v>
      </c>
      <c r="J5" s="6" t="s">
        <v>3</v>
      </c>
      <c r="K5" s="7" t="s">
        <v>4</v>
      </c>
      <c r="L5" s="32" t="s">
        <v>39</v>
      </c>
      <c r="M5" s="33" t="s">
        <v>38</v>
      </c>
      <c r="N5" s="33" t="s">
        <v>20</v>
      </c>
    </row>
    <row r="6" spans="1:14" ht="12.75">
      <c r="A6" s="20">
        <v>5.628</v>
      </c>
      <c r="B6" s="20">
        <v>0.469</v>
      </c>
      <c r="C6" s="20">
        <v>0.4788</v>
      </c>
      <c r="D6" s="21">
        <v>1</v>
      </c>
      <c r="E6" s="6">
        <f>IF(D6&lt;&gt;0,A6*C6/(B6*0.06)," ")</f>
        <v>95.76</v>
      </c>
      <c r="F6" s="6">
        <f>IF(D6&lt;&gt;0,(E6-$D$4)/$B$4," ")</f>
        <v>47.88</v>
      </c>
      <c r="G6" s="6">
        <f>IF(D6&lt;&gt;0,0.06/A6," ")</f>
        <v>0.010660980810234541</v>
      </c>
      <c r="H6" s="6">
        <f>IF(D6&lt;&gt;0,G6*G6," ")</f>
        <v>0.00011365651183618914</v>
      </c>
      <c r="I6" s="6">
        <f>IF(D6&lt;&gt;0,F6*G6," ")</f>
        <v>0.5104477611940299</v>
      </c>
      <c r="J6" s="6">
        <f>IF(D6&lt;&gt;0,F6*H6," ")</f>
        <v>0.005441873786716736</v>
      </c>
      <c r="K6" s="7">
        <f>IF(D6&lt;&gt;0,I6*I6," ")</f>
        <v>0.26055691690799737</v>
      </c>
      <c r="L6" s="34">
        <f>IF(D6&lt;&gt;0,$B$25*F6+$B$26," ")</f>
        <v>94.66171313264545</v>
      </c>
      <c r="M6" s="35">
        <f>IF(D6&lt;&gt;0,L6*0.06/A6-1," ")</f>
        <v>0.009186707171060071</v>
      </c>
      <c r="N6" s="36">
        <f>IF(D6&lt;&gt;0,0.06*E6/A6-1," ")</f>
        <v>0.020895522388059806</v>
      </c>
    </row>
    <row r="7" spans="1:14" ht="12.75">
      <c r="A7" s="20">
        <v>5.76</v>
      </c>
      <c r="B7" s="20">
        <v>0.48</v>
      </c>
      <c r="C7" s="20">
        <v>0.4806</v>
      </c>
      <c r="D7" s="21">
        <v>1</v>
      </c>
      <c r="E7" s="6">
        <f aca="true" t="shared" si="0" ref="E7:E22">IF(D7&lt;&gt;0,A7*C7/(B7*0.06)," ")</f>
        <v>96.12</v>
      </c>
      <c r="F7" s="6">
        <f aca="true" t="shared" si="1" ref="F7:F22">IF(D7&lt;&gt;0,(E7-$D$4)/$B$4," ")</f>
        <v>48.06</v>
      </c>
      <c r="G7" s="6">
        <f aca="true" t="shared" si="2" ref="G7:G22">IF(D7&lt;&gt;0,0.06/A7," ")</f>
        <v>0.010416666666666666</v>
      </c>
      <c r="H7" s="6">
        <f aca="true" t="shared" si="3" ref="H7:H22">IF(D7&lt;&gt;0,G7*G7," ")</f>
        <v>0.00010850694444444444</v>
      </c>
      <c r="I7" s="6">
        <f aca="true" t="shared" si="4" ref="I7:I22">IF(D7&lt;&gt;0,F7*G7," ")</f>
        <v>0.500625</v>
      </c>
      <c r="J7" s="6">
        <f aca="true" t="shared" si="5" ref="J7:J22">IF(D7&lt;&gt;0,F7*H7," ")</f>
        <v>0.00521484375</v>
      </c>
      <c r="K7" s="7">
        <f aca="true" t="shared" si="6" ref="K7:K22">IF(D7&lt;&gt;0,I7*I7," ")</f>
        <v>0.250625390625</v>
      </c>
      <c r="L7" s="34">
        <f aca="true" t="shared" si="7" ref="L7:L22">IF(D7&lt;&gt;0,$B$25*F7+$B$26," ")</f>
        <v>95.02294950222121</v>
      </c>
      <c r="M7" s="35">
        <f aca="true" t="shared" si="8" ref="M7:M22">IF(D7&lt;&gt;0,L7*0.06/A7-1," ")</f>
        <v>-0.010177609351862404</v>
      </c>
      <c r="N7" s="36">
        <f aca="true" t="shared" si="9" ref="N7:N22">IF(D7&lt;&gt;0,0.06*E7/A7-1," ")</f>
        <v>0.0012499999999999734</v>
      </c>
    </row>
    <row r="8" spans="1:14" ht="12.75">
      <c r="A8" s="20">
        <v>11.004</v>
      </c>
      <c r="B8" s="20">
        <v>0.917</v>
      </c>
      <c r="C8" s="20">
        <v>0.9204</v>
      </c>
      <c r="D8" s="21">
        <v>1</v>
      </c>
      <c r="E8" s="6">
        <f t="shared" si="0"/>
        <v>184.07999999999998</v>
      </c>
      <c r="F8" s="6">
        <f t="shared" si="1"/>
        <v>92.03999999999999</v>
      </c>
      <c r="G8" s="6">
        <f t="shared" si="2"/>
        <v>0.0054525627044711015</v>
      </c>
      <c r="H8" s="6">
        <f t="shared" si="3"/>
        <v>2.9730440046189213E-05</v>
      </c>
      <c r="I8" s="6">
        <f t="shared" si="4"/>
        <v>0.5018538713195201</v>
      </c>
      <c r="J8" s="6">
        <f t="shared" si="5"/>
        <v>0.002736389701851255</v>
      </c>
      <c r="K8" s="7">
        <f t="shared" si="6"/>
        <v>0.2518573081583894</v>
      </c>
      <c r="L8" s="34">
        <f t="shared" si="7"/>
        <v>183.28503580189997</v>
      </c>
      <c r="M8" s="35">
        <f t="shared" si="8"/>
        <v>-0.0006268494989096762</v>
      </c>
      <c r="N8" s="36">
        <f t="shared" si="9"/>
        <v>0.003707742639040168</v>
      </c>
    </row>
    <row r="9" spans="1:14" ht="12.75">
      <c r="A9" s="20">
        <v>10.764</v>
      </c>
      <c r="B9" s="20">
        <v>0.897</v>
      </c>
      <c r="C9" s="20">
        <v>0.8985</v>
      </c>
      <c r="D9" s="21">
        <v>1</v>
      </c>
      <c r="E9" s="6">
        <f t="shared" si="0"/>
        <v>179.7</v>
      </c>
      <c r="F9" s="6">
        <f t="shared" si="1"/>
        <v>89.85</v>
      </c>
      <c r="G9" s="6">
        <f t="shared" si="2"/>
        <v>0.005574136008918618</v>
      </c>
      <c r="H9" s="6">
        <f t="shared" si="3"/>
        <v>3.107099224592318E-05</v>
      </c>
      <c r="I9" s="6">
        <f t="shared" si="4"/>
        <v>0.5008361204013377</v>
      </c>
      <c r="J9" s="6">
        <f t="shared" si="5"/>
        <v>0.002791728653296198</v>
      </c>
      <c r="K9" s="7">
        <f t="shared" si="6"/>
        <v>0.25083681949866327</v>
      </c>
      <c r="L9" s="34">
        <f t="shared" si="7"/>
        <v>178.88999330539482</v>
      </c>
      <c r="M9" s="35">
        <f t="shared" si="8"/>
        <v>-0.0028428466811881714</v>
      </c>
      <c r="N9" s="36">
        <f t="shared" si="9"/>
        <v>0.0016722408026754731</v>
      </c>
    </row>
    <row r="10" spans="1:14" ht="12.75">
      <c r="A10" s="20">
        <v>14.436</v>
      </c>
      <c r="B10" s="20">
        <v>0.1203</v>
      </c>
      <c r="C10" s="20">
        <v>0.1205</v>
      </c>
      <c r="D10" s="21">
        <v>1</v>
      </c>
      <c r="E10" s="6">
        <f t="shared" si="0"/>
        <v>241.00000000000003</v>
      </c>
      <c r="F10" s="6">
        <f t="shared" si="1"/>
        <v>120.50000000000001</v>
      </c>
      <c r="G10" s="6">
        <f t="shared" si="2"/>
        <v>0.004156275976724855</v>
      </c>
      <c r="H10" s="6">
        <f t="shared" si="3"/>
        <v>1.7274629994700146E-05</v>
      </c>
      <c r="I10" s="6">
        <f t="shared" si="4"/>
        <v>0.5008312551953451</v>
      </c>
      <c r="J10" s="6">
        <f t="shared" si="5"/>
        <v>0.002081592914361368</v>
      </c>
      <c r="K10" s="7">
        <f t="shared" si="6"/>
        <v>0.2508319461805449</v>
      </c>
      <c r="L10" s="34">
        <f t="shared" si="7"/>
        <v>240.4005195692683</v>
      </c>
      <c r="M10" s="35">
        <f t="shared" si="8"/>
        <v>-0.0008290957220767892</v>
      </c>
      <c r="N10" s="36">
        <f t="shared" si="9"/>
        <v>0.0016625103906899863</v>
      </c>
    </row>
    <row r="11" spans="1:14" ht="12.75">
      <c r="A11" s="20">
        <v>14.58</v>
      </c>
      <c r="B11" s="20">
        <v>0.1215</v>
      </c>
      <c r="C11" s="20">
        <v>0.12212</v>
      </c>
      <c r="D11" s="21">
        <v>1</v>
      </c>
      <c r="E11" s="6">
        <f t="shared" si="0"/>
        <v>244.24</v>
      </c>
      <c r="F11" s="6">
        <f t="shared" si="1"/>
        <v>122.12</v>
      </c>
      <c r="G11" s="6">
        <f t="shared" si="2"/>
        <v>0.004115226337448559</v>
      </c>
      <c r="H11" s="6">
        <f t="shared" si="3"/>
        <v>1.6935087808430282E-05</v>
      </c>
      <c r="I11" s="6">
        <f t="shared" si="4"/>
        <v>0.5025514403292181</v>
      </c>
      <c r="J11" s="6">
        <f t="shared" si="5"/>
        <v>0.0020681129231655063</v>
      </c>
      <c r="K11" s="7">
        <f t="shared" si="6"/>
        <v>0.25255795017697164</v>
      </c>
      <c r="L11" s="34">
        <f t="shared" si="7"/>
        <v>243.65164689545017</v>
      </c>
      <c r="M11" s="35">
        <f t="shared" si="8"/>
        <v>0.002681674466873174</v>
      </c>
      <c r="N11" s="36">
        <f t="shared" si="9"/>
        <v>0.005102880658436337</v>
      </c>
    </row>
    <row r="12" spans="1:14" ht="12.75">
      <c r="A12" s="20">
        <v>5.64</v>
      </c>
      <c r="B12" s="20">
        <v>0.47</v>
      </c>
      <c r="C12" s="20">
        <v>0.4718</v>
      </c>
      <c r="D12" s="21">
        <v>1</v>
      </c>
      <c r="E12" s="6">
        <f t="shared" si="0"/>
        <v>94.36000000000001</v>
      </c>
      <c r="F12" s="6">
        <f t="shared" si="1"/>
        <v>47.18000000000001</v>
      </c>
      <c r="G12" s="6">
        <f t="shared" si="2"/>
        <v>0.010638297872340425</v>
      </c>
      <c r="H12" s="6">
        <f t="shared" si="3"/>
        <v>0.00011317338162064282</v>
      </c>
      <c r="I12" s="6">
        <f t="shared" si="4"/>
        <v>0.5019148936170214</v>
      </c>
      <c r="J12" s="6">
        <f t="shared" si="5"/>
        <v>0.005339520144861929</v>
      </c>
      <c r="K12" s="7">
        <f t="shared" si="6"/>
        <v>0.2519185604345859</v>
      </c>
      <c r="L12" s="34">
        <f t="shared" si="7"/>
        <v>93.2569050287397</v>
      </c>
      <c r="M12" s="35">
        <f t="shared" si="8"/>
        <v>-0.007905265651705351</v>
      </c>
      <c r="N12" s="36">
        <f t="shared" si="9"/>
        <v>0.003829787234042703</v>
      </c>
    </row>
    <row r="13" spans="1:14" ht="12.75">
      <c r="A13" s="20">
        <v>5.64</v>
      </c>
      <c r="B13" s="20">
        <v>0.47</v>
      </c>
      <c r="C13" s="20">
        <v>0.4713</v>
      </c>
      <c r="D13" s="21">
        <v>1</v>
      </c>
      <c r="E13" s="6">
        <f t="shared" si="0"/>
        <v>94.26</v>
      </c>
      <c r="F13" s="6">
        <f t="shared" si="1"/>
        <v>47.13</v>
      </c>
      <c r="G13" s="6">
        <f t="shared" si="2"/>
        <v>0.010638297872340425</v>
      </c>
      <c r="H13" s="6">
        <f t="shared" si="3"/>
        <v>0.00011317338162064282</v>
      </c>
      <c r="I13" s="6">
        <f t="shared" si="4"/>
        <v>0.5013829787234043</v>
      </c>
      <c r="J13" s="6">
        <f t="shared" si="5"/>
        <v>0.005333861475780897</v>
      </c>
      <c r="K13" s="7">
        <f t="shared" si="6"/>
        <v>0.2513848913535537</v>
      </c>
      <c r="L13" s="34">
        <f t="shared" si="7"/>
        <v>93.15656159274641</v>
      </c>
      <c r="M13" s="35">
        <f t="shared" si="8"/>
        <v>-0.008972749013336001</v>
      </c>
      <c r="N13" s="36">
        <f t="shared" si="9"/>
        <v>0.002765957446808631</v>
      </c>
    </row>
    <row r="14" spans="1:14" ht="12.75">
      <c r="A14" s="20">
        <v>5.64</v>
      </c>
      <c r="B14" s="20">
        <v>0.47</v>
      </c>
      <c r="C14" s="20">
        <v>0.4785</v>
      </c>
      <c r="D14" s="21">
        <v>1</v>
      </c>
      <c r="E14" s="6">
        <f t="shared" si="0"/>
        <v>95.70000000000002</v>
      </c>
      <c r="F14" s="6">
        <f t="shared" si="1"/>
        <v>47.85000000000001</v>
      </c>
      <c r="G14" s="6">
        <f t="shared" si="2"/>
        <v>0.010638297872340425</v>
      </c>
      <c r="H14" s="6">
        <f t="shared" si="3"/>
        <v>0.00011317338162064282</v>
      </c>
      <c r="I14" s="6">
        <f t="shared" si="4"/>
        <v>0.5090425531914894</v>
      </c>
      <c r="J14" s="6">
        <f t="shared" si="5"/>
        <v>0.00541534631054776</v>
      </c>
      <c r="K14" s="7">
        <f t="shared" si="6"/>
        <v>0.25912432095971033</v>
      </c>
      <c r="L14" s="34">
        <f t="shared" si="7"/>
        <v>94.6015070710495</v>
      </c>
      <c r="M14" s="35">
        <f t="shared" si="8"/>
        <v>0.006399011394143672</v>
      </c>
      <c r="N14" s="36">
        <f t="shared" si="9"/>
        <v>0.018085106382979</v>
      </c>
    </row>
    <row r="15" spans="1:14" ht="12.75">
      <c r="A15" s="20">
        <v>5.64</v>
      </c>
      <c r="B15" s="20">
        <v>0.47</v>
      </c>
      <c r="C15" s="20">
        <v>0.4796</v>
      </c>
      <c r="D15" s="21">
        <v>1</v>
      </c>
      <c r="E15" s="6">
        <f t="shared" si="0"/>
        <v>95.92</v>
      </c>
      <c r="F15" s="6">
        <f t="shared" si="1"/>
        <v>47.96</v>
      </c>
      <c r="G15" s="6">
        <f t="shared" si="2"/>
        <v>0.010638297872340425</v>
      </c>
      <c r="H15" s="6">
        <f t="shared" si="3"/>
        <v>0.00011317338162064282</v>
      </c>
      <c r="I15" s="6">
        <f t="shared" si="4"/>
        <v>0.5102127659574468</v>
      </c>
      <c r="J15" s="6">
        <f t="shared" si="5"/>
        <v>0.00542779538252603</v>
      </c>
      <c r="K15" s="7">
        <f t="shared" si="6"/>
        <v>0.2603170665459484</v>
      </c>
      <c r="L15" s="34">
        <f t="shared" si="7"/>
        <v>94.82226263023468</v>
      </c>
      <c r="M15" s="35">
        <f t="shared" si="8"/>
        <v>0.008747474789730703</v>
      </c>
      <c r="N15" s="36">
        <f t="shared" si="9"/>
        <v>0.020425531914893824</v>
      </c>
    </row>
    <row r="16" spans="1:14" ht="12.75">
      <c r="A16" s="20">
        <v>5.64</v>
      </c>
      <c r="B16" s="20">
        <v>0.47</v>
      </c>
      <c r="C16" s="20">
        <v>0.4713</v>
      </c>
      <c r="D16" s="21">
        <v>1</v>
      </c>
      <c r="E16" s="6">
        <f t="shared" si="0"/>
        <v>94.26</v>
      </c>
      <c r="F16" s="6">
        <f t="shared" si="1"/>
        <v>47.13</v>
      </c>
      <c r="G16" s="6">
        <f t="shared" si="2"/>
        <v>0.010638297872340425</v>
      </c>
      <c r="H16" s="6">
        <f t="shared" si="3"/>
        <v>0.00011317338162064282</v>
      </c>
      <c r="I16" s="6">
        <f t="shared" si="4"/>
        <v>0.5013829787234043</v>
      </c>
      <c r="J16" s="6">
        <f t="shared" si="5"/>
        <v>0.005333861475780897</v>
      </c>
      <c r="K16" s="7">
        <f t="shared" si="6"/>
        <v>0.2513848913535537</v>
      </c>
      <c r="L16" s="34">
        <f t="shared" si="7"/>
        <v>93.15656159274641</v>
      </c>
      <c r="M16" s="35">
        <f t="shared" si="8"/>
        <v>-0.008972749013336001</v>
      </c>
      <c r="N16" s="36">
        <f t="shared" si="9"/>
        <v>0.002765957446808631</v>
      </c>
    </row>
    <row r="17" spans="1:14" ht="12.75">
      <c r="A17" s="20">
        <v>5.64</v>
      </c>
      <c r="B17" s="20">
        <v>0.47</v>
      </c>
      <c r="C17" s="20">
        <v>0.4717</v>
      </c>
      <c r="D17" s="21">
        <v>1</v>
      </c>
      <c r="E17" s="6">
        <f t="shared" si="0"/>
        <v>94.34</v>
      </c>
      <c r="F17" s="6">
        <f t="shared" si="1"/>
        <v>47.17</v>
      </c>
      <c r="G17" s="6">
        <f t="shared" si="2"/>
        <v>0.010638297872340425</v>
      </c>
      <c r="H17" s="6">
        <f t="shared" si="3"/>
        <v>0.00011317338162064282</v>
      </c>
      <c r="I17" s="6">
        <f t="shared" si="4"/>
        <v>0.5018085106382979</v>
      </c>
      <c r="J17" s="6">
        <f t="shared" si="5"/>
        <v>0.005338388411045722</v>
      </c>
      <c r="K17" s="7">
        <f t="shared" si="6"/>
        <v>0.25181178134902676</v>
      </c>
      <c r="L17" s="34">
        <f t="shared" si="7"/>
        <v>93.23683634154104</v>
      </c>
      <c r="M17" s="35">
        <f t="shared" si="8"/>
        <v>-0.008118762324031414</v>
      </c>
      <c r="N17" s="36">
        <f t="shared" si="9"/>
        <v>0.0036170212765958</v>
      </c>
    </row>
    <row r="18" spans="1:14" ht="12.75">
      <c r="A18" s="20">
        <v>5.64</v>
      </c>
      <c r="B18" s="20">
        <v>0.47</v>
      </c>
      <c r="C18" s="20">
        <v>0.4796</v>
      </c>
      <c r="D18" s="21">
        <v>1</v>
      </c>
      <c r="E18" s="6">
        <f t="shared" si="0"/>
        <v>95.92</v>
      </c>
      <c r="F18" s="6">
        <f t="shared" si="1"/>
        <v>47.96</v>
      </c>
      <c r="G18" s="6">
        <f t="shared" si="2"/>
        <v>0.010638297872340425</v>
      </c>
      <c r="H18" s="6">
        <f t="shared" si="3"/>
        <v>0.00011317338162064282</v>
      </c>
      <c r="I18" s="6">
        <f t="shared" si="4"/>
        <v>0.5102127659574468</v>
      </c>
      <c r="J18" s="6">
        <f t="shared" si="5"/>
        <v>0.00542779538252603</v>
      </c>
      <c r="K18" s="7">
        <f t="shared" si="6"/>
        <v>0.2603170665459484</v>
      </c>
      <c r="L18" s="34">
        <f t="shared" si="7"/>
        <v>94.82226263023468</v>
      </c>
      <c r="M18" s="35">
        <f t="shared" si="8"/>
        <v>0.008747474789730703</v>
      </c>
      <c r="N18" s="36">
        <f t="shared" si="9"/>
        <v>0.020425531914893824</v>
      </c>
    </row>
    <row r="19" spans="1:14" ht="12.75">
      <c r="A19" s="20">
        <v>5.64</v>
      </c>
      <c r="B19" s="20">
        <v>0.47</v>
      </c>
      <c r="C19" s="20">
        <v>0.4784</v>
      </c>
      <c r="D19" s="21">
        <v>1</v>
      </c>
      <c r="E19" s="6">
        <f t="shared" si="0"/>
        <v>95.68</v>
      </c>
      <c r="F19" s="6">
        <f t="shared" si="1"/>
        <v>47.84</v>
      </c>
      <c r="G19" s="6">
        <f t="shared" si="2"/>
        <v>0.010638297872340425</v>
      </c>
      <c r="H19" s="6">
        <f t="shared" si="3"/>
        <v>0.00011317338162064282</v>
      </c>
      <c r="I19" s="6">
        <f t="shared" si="4"/>
        <v>0.5089361702127659</v>
      </c>
      <c r="J19" s="6">
        <f t="shared" si="5"/>
        <v>0.005414214576731553</v>
      </c>
      <c r="K19" s="7">
        <f t="shared" si="6"/>
        <v>0.25901602535083745</v>
      </c>
      <c r="L19" s="34">
        <f t="shared" si="7"/>
        <v>94.58143838385084</v>
      </c>
      <c r="M19" s="35">
        <f t="shared" si="8"/>
        <v>0.006185514721817498</v>
      </c>
      <c r="N19" s="36">
        <f t="shared" si="9"/>
        <v>0.017872340425532096</v>
      </c>
    </row>
    <row r="20" spans="1:14" ht="12.75">
      <c r="A20" s="20">
        <v>5.64</v>
      </c>
      <c r="B20" s="20">
        <v>0.47</v>
      </c>
      <c r="C20" s="20">
        <v>0.4752</v>
      </c>
      <c r="D20" s="21">
        <v>1</v>
      </c>
      <c r="E20" s="6">
        <f t="shared" si="0"/>
        <v>95.04</v>
      </c>
      <c r="F20" s="6">
        <f t="shared" si="1"/>
        <v>47.52</v>
      </c>
      <c r="G20" s="6">
        <f t="shared" si="2"/>
        <v>0.010638297872340425</v>
      </c>
      <c r="H20" s="6">
        <f t="shared" si="3"/>
        <v>0.00011317338162064282</v>
      </c>
      <c r="I20" s="6">
        <f t="shared" si="4"/>
        <v>0.505531914893617</v>
      </c>
      <c r="J20" s="6">
        <f t="shared" si="5"/>
        <v>0.005377999094612947</v>
      </c>
      <c r="K20" s="7">
        <f t="shared" si="6"/>
        <v>0.25556251697600724</v>
      </c>
      <c r="L20" s="34">
        <f t="shared" si="7"/>
        <v>93.93924039349392</v>
      </c>
      <c r="M20" s="35">
        <f t="shared" si="8"/>
        <v>-0.0006463787926178632</v>
      </c>
      <c r="N20" s="36">
        <f t="shared" si="9"/>
        <v>0.01106382978723408</v>
      </c>
    </row>
    <row r="21" spans="1:14" ht="12.75">
      <c r="A21" s="20">
        <v>5.64</v>
      </c>
      <c r="B21" s="20">
        <v>0.47</v>
      </c>
      <c r="C21" s="20">
        <v>0.4777</v>
      </c>
      <c r="D21" s="21">
        <v>1</v>
      </c>
      <c r="E21" s="6">
        <f t="shared" si="0"/>
        <v>95.54</v>
      </c>
      <c r="F21" s="6">
        <f t="shared" si="1"/>
        <v>47.77</v>
      </c>
      <c r="G21" s="6">
        <f t="shared" si="2"/>
        <v>0.010638297872340425</v>
      </c>
      <c r="H21" s="6">
        <f t="shared" si="3"/>
        <v>0.00011317338162064282</v>
      </c>
      <c r="I21" s="6">
        <f t="shared" si="4"/>
        <v>0.5081914893617021</v>
      </c>
      <c r="J21" s="6">
        <f t="shared" si="5"/>
        <v>0.005406292440018108</v>
      </c>
      <c r="K21" s="7">
        <f t="shared" si="6"/>
        <v>0.258258589859665</v>
      </c>
      <c r="L21" s="34">
        <f t="shared" si="7"/>
        <v>94.44095757346025</v>
      </c>
      <c r="M21" s="35">
        <f t="shared" si="8"/>
        <v>0.004691038015534721</v>
      </c>
      <c r="N21" s="36">
        <f t="shared" si="9"/>
        <v>0.01638297872340444</v>
      </c>
    </row>
    <row r="22" spans="1:14" ht="12.75">
      <c r="A22" s="20">
        <v>5.64</v>
      </c>
      <c r="B22" s="20">
        <v>0.47</v>
      </c>
      <c r="C22" s="20">
        <v>0.4763</v>
      </c>
      <c r="D22" s="21">
        <v>1</v>
      </c>
      <c r="E22" s="6">
        <f t="shared" si="0"/>
        <v>95.26</v>
      </c>
      <c r="F22" s="6">
        <f t="shared" si="1"/>
        <v>47.63</v>
      </c>
      <c r="G22" s="6">
        <f t="shared" si="2"/>
        <v>0.010638297872340425</v>
      </c>
      <c r="H22" s="6">
        <f t="shared" si="3"/>
        <v>0.00011317338162064282</v>
      </c>
      <c r="I22" s="6">
        <f t="shared" si="4"/>
        <v>0.5067021276595745</v>
      </c>
      <c r="J22" s="6">
        <f t="shared" si="5"/>
        <v>0.005390448166591218</v>
      </c>
      <c r="K22" s="7">
        <f t="shared" si="6"/>
        <v>0.2567470461747397</v>
      </c>
      <c r="L22" s="34">
        <f t="shared" si="7"/>
        <v>94.1599959526791</v>
      </c>
      <c r="M22" s="35">
        <f t="shared" si="8"/>
        <v>0.0017020846029691672</v>
      </c>
      <c r="N22" s="36">
        <f t="shared" si="9"/>
        <v>0.013404255319149128</v>
      </c>
    </row>
    <row r="24" spans="1:11" ht="15">
      <c r="A24" s="17" t="s">
        <v>43</v>
      </c>
      <c r="B24" s="18"/>
      <c r="C24" s="16"/>
      <c r="D24" s="16"/>
      <c r="E24" s="16"/>
      <c r="G24" s="15" t="s">
        <v>12</v>
      </c>
      <c r="H24" s="2"/>
      <c r="I24" s="2"/>
      <c r="J24" s="2"/>
      <c r="K24" s="2"/>
    </row>
    <row r="25" spans="1:11" ht="15">
      <c r="A25" s="19" t="s">
        <v>10</v>
      </c>
      <c r="B25" s="19">
        <f>(H25*I25-G25*J25)/(H25*K25-J25*J25)</f>
        <v>2.0068687198653654</v>
      </c>
      <c r="G25" s="8">
        <f>SUMIF($D6:$D22,"&lt;&gt;0",G6:G22)</f>
        <v>0.15739712510020898</v>
      </c>
      <c r="H25" s="8">
        <f>SUMIF($D6:$D22,"&lt;&gt;0",H6:H22)</f>
        <v>0.0015620818042029478</v>
      </c>
      <c r="I25" s="8">
        <f>SUMIF($D6:$D22,"&lt;&gt;0",I6:I22)</f>
        <v>8.58246459737562</v>
      </c>
      <c r="J25" s="8">
        <f>SUMIF($D6:$D22,"&lt;&gt;0",J6:J22)</f>
        <v>0.07954006459041417</v>
      </c>
      <c r="K25" s="8">
        <f>SUMIF($D6:$D22,"&lt;&gt;0",K6:K22)</f>
        <v>4.333109088451143</v>
      </c>
    </row>
    <row r="26" spans="1:11" ht="15">
      <c r="A26" s="19" t="s">
        <v>11</v>
      </c>
      <c r="B26" s="19">
        <f>(G25*K25-I25*J25)/(H25*K25-J25*J25)</f>
        <v>-1.4271611745082626</v>
      </c>
      <c r="G26" s="8" t="s">
        <v>5</v>
      </c>
      <c r="H26" s="8" t="s">
        <v>6</v>
      </c>
      <c r="I26" s="8" t="s">
        <v>7</v>
      </c>
      <c r="J26" s="8" t="s">
        <v>8</v>
      </c>
      <c r="K26" s="8" t="s">
        <v>9</v>
      </c>
    </row>
    <row r="27" ht="15.75">
      <c r="A27" s="9" t="s">
        <v>16</v>
      </c>
    </row>
    <row r="28" ht="15.75">
      <c r="A28" s="10" t="s">
        <v>42</v>
      </c>
    </row>
    <row r="29" ht="15.75">
      <c r="A29" s="10" t="s">
        <v>40</v>
      </c>
    </row>
    <row r="30" ht="15.75">
      <c r="A30" s="10" t="s">
        <v>44</v>
      </c>
    </row>
    <row r="31" ht="15.75">
      <c r="A31" s="10" t="s">
        <v>41</v>
      </c>
    </row>
  </sheetData>
  <sheetProtection/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zoomScalePageLayoutView="0" workbookViewId="0" topLeftCell="A1">
      <selection activeCell="M26" sqref="M26"/>
    </sheetView>
  </sheetViews>
  <sheetFormatPr defaultColWidth="9.00390625" defaultRowHeight="12.75"/>
  <cols>
    <col min="2" max="2" width="11.375" style="0" customWidth="1"/>
    <col min="3" max="3" width="18.125" style="0" customWidth="1"/>
    <col min="4" max="4" width="11.00390625" style="0" customWidth="1"/>
    <col min="5" max="5" width="12.25390625" style="0" customWidth="1"/>
    <col min="6" max="6" width="10.25390625" style="0" customWidth="1"/>
    <col min="7" max="7" width="14.25390625" style="0" customWidth="1"/>
    <col min="9" max="9" width="10.25390625" style="0" bestFit="1" customWidth="1"/>
    <col min="11" max="11" width="14.75390625" style="0" customWidth="1"/>
    <col min="13" max="13" width="12.25390625" style="0" customWidth="1"/>
    <col min="14" max="14" width="12.875" style="0" customWidth="1"/>
    <col min="20" max="20" width="12.625" style="0" customWidth="1"/>
    <col min="21" max="21" width="12.375" style="0" customWidth="1"/>
    <col min="22" max="22" width="13.25390625" style="0" customWidth="1"/>
  </cols>
  <sheetData>
    <row r="1" spans="1:6" ht="14.25">
      <c r="A1" s="12" t="s">
        <v>21</v>
      </c>
      <c r="B1" s="12"/>
      <c r="C1" s="12"/>
      <c r="D1" s="12"/>
      <c r="E1" s="12"/>
      <c r="F1" s="12"/>
    </row>
    <row r="2" spans="1:7" ht="12.75">
      <c r="A2" s="11" t="s">
        <v>22</v>
      </c>
      <c r="B2" s="22">
        <v>38545</v>
      </c>
      <c r="C2" s="11" t="s">
        <v>23</v>
      </c>
      <c r="D2" s="23">
        <v>50123</v>
      </c>
      <c r="E2" s="13" t="s">
        <v>29</v>
      </c>
      <c r="F2" s="24">
        <v>32</v>
      </c>
      <c r="G2" t="s">
        <v>30</v>
      </c>
    </row>
    <row r="3" spans="1:9" ht="12.75">
      <c r="A3" s="1" t="s">
        <v>24</v>
      </c>
      <c r="B3" s="1"/>
      <c r="C3" s="1"/>
      <c r="D3" s="1"/>
      <c r="E3" s="1"/>
      <c r="F3" s="1"/>
      <c r="G3" s="1"/>
      <c r="H3" s="1"/>
      <c r="I3" s="1"/>
    </row>
    <row r="4" spans="1:9" ht="13.5" thickBot="1">
      <c r="A4" s="1" t="s">
        <v>10</v>
      </c>
      <c r="B4" s="25">
        <v>2</v>
      </c>
      <c r="C4" s="1" t="s">
        <v>11</v>
      </c>
      <c r="D4" s="25">
        <v>0</v>
      </c>
      <c r="E4" s="1" t="s">
        <v>25</v>
      </c>
      <c r="F4" s="1"/>
      <c r="G4" s="1"/>
      <c r="H4" s="1"/>
      <c r="I4" s="1"/>
    </row>
    <row r="5" spans="1:14" ht="51">
      <c r="A5" s="5" t="s">
        <v>28</v>
      </c>
      <c r="B5" s="5" t="s">
        <v>26</v>
      </c>
      <c r="C5" s="5" t="s">
        <v>27</v>
      </c>
      <c r="D5" s="5" t="s">
        <v>31</v>
      </c>
      <c r="E5" s="14" t="s">
        <v>32</v>
      </c>
      <c r="F5" s="6" t="s">
        <v>0</v>
      </c>
      <c r="G5" s="6" t="s">
        <v>33</v>
      </c>
      <c r="H5" s="6" t="s">
        <v>1</v>
      </c>
      <c r="I5" s="6" t="s">
        <v>2</v>
      </c>
      <c r="J5" s="6" t="s">
        <v>3</v>
      </c>
      <c r="K5" s="7" t="s">
        <v>4</v>
      </c>
      <c r="L5" s="30" t="s">
        <v>15</v>
      </c>
      <c r="M5" s="26" t="s">
        <v>14</v>
      </c>
      <c r="N5" s="27" t="s">
        <v>20</v>
      </c>
    </row>
    <row r="6" spans="1:14" ht="12.75">
      <c r="A6" s="20">
        <v>93.8</v>
      </c>
      <c r="B6" s="20">
        <v>469</v>
      </c>
      <c r="C6" s="20">
        <v>478.8</v>
      </c>
      <c r="D6" s="21">
        <v>1</v>
      </c>
      <c r="E6" s="6">
        <f>IF(D6&lt;&gt;0,A6*C6/B6," ")</f>
        <v>95.76</v>
      </c>
      <c r="F6" s="6">
        <f>IF(D6&lt;&gt;0,(E6-$D$4)/$B$4," ")</f>
        <v>47.88</v>
      </c>
      <c r="G6" s="6">
        <f>IF(D6&lt;&gt;0,1/A6," ")</f>
        <v>0.010660980810234541</v>
      </c>
      <c r="H6" s="6">
        <f>IF(D6&lt;&gt;0,G6*G6," ")</f>
        <v>0.00011365651183618914</v>
      </c>
      <c r="I6" s="6">
        <f>IF(D6&lt;&gt;0,F6*G6," ")</f>
        <v>0.5104477611940299</v>
      </c>
      <c r="J6" s="6">
        <f>IF(D6&lt;&gt;0,F6*H6," ")</f>
        <v>0.005441873786716736</v>
      </c>
      <c r="K6" s="7">
        <f>IF(D6&lt;&gt;0,I6*I6," ")</f>
        <v>0.26055691690799737</v>
      </c>
      <c r="L6" s="31">
        <f>IF(D6&lt;&gt;0,$B$27*F6+$B$28," ")</f>
        <v>94.55020265081504</v>
      </c>
      <c r="M6" s="28">
        <f>IF(D6&lt;&gt;0,L6/A6-1," ")</f>
        <v>0.007997896064126264</v>
      </c>
      <c r="N6" s="29">
        <f>IF(D6&lt;&gt;0,E6/A6-1," ")</f>
        <v>0.020895522388059806</v>
      </c>
    </row>
    <row r="7" spans="1:14" ht="12.75">
      <c r="A7" s="20">
        <v>96</v>
      </c>
      <c r="B7" s="20">
        <v>480</v>
      </c>
      <c r="C7" s="20">
        <v>480.6</v>
      </c>
      <c r="D7" s="21">
        <v>1</v>
      </c>
      <c r="E7" s="6">
        <f aca="true" t="shared" si="0" ref="E7:E22">IF(D7&lt;&gt;0,A7*C7/B7," ")</f>
        <v>96.12000000000002</v>
      </c>
      <c r="F7" s="6">
        <f aca="true" t="shared" si="1" ref="F7:F21">IF(D7&lt;&gt;0,(E7-$D$4)/$B$4," ")</f>
        <v>48.06000000000001</v>
      </c>
      <c r="G7" s="6">
        <f aca="true" t="shared" si="2" ref="G7:G22">IF(D7&lt;&gt;0,1/A7," ")</f>
        <v>0.010416666666666666</v>
      </c>
      <c r="H7" s="6">
        <f aca="true" t="shared" si="3" ref="H7:H22">IF(D7&lt;&gt;0,G7*G7," ")</f>
        <v>0.00010850694444444444</v>
      </c>
      <c r="I7" s="6">
        <f aca="true" t="shared" si="4" ref="I7:I22">IF(D7&lt;&gt;0,F7*G7," ")</f>
        <v>0.5006250000000001</v>
      </c>
      <c r="J7" s="6">
        <f aca="true" t="shared" si="5" ref="J7:J22">IF(D7&lt;&gt;0,F7*H7," ")</f>
        <v>0.005214843750000001</v>
      </c>
      <c r="K7" s="7">
        <f aca="true" t="shared" si="6" ref="K7:K22">IF(D7&lt;&gt;0,I7*I7," ")</f>
        <v>0.2506253906250001</v>
      </c>
      <c r="L7" s="31">
        <f aca="true" t="shared" si="7" ref="L7:L22">IF(D7&lt;&gt;0,$B$27*F7+$B$28," ")</f>
        <v>94.91189319597825</v>
      </c>
      <c r="M7" s="28">
        <f aca="true" t="shared" si="8" ref="M7:M22">IF(D7&lt;&gt;0,L7/A7-1," ")</f>
        <v>-0.011334445875226584</v>
      </c>
      <c r="N7" s="29">
        <f aca="true" t="shared" si="9" ref="N7:N22">IF(D7&lt;&gt;0,E7/A7-1," ")</f>
        <v>0.0012500000000001954</v>
      </c>
    </row>
    <row r="8" spans="1:14" ht="12.75">
      <c r="A8" s="20">
        <v>183.4</v>
      </c>
      <c r="B8" s="20">
        <v>917</v>
      </c>
      <c r="C8" s="20">
        <v>920.4</v>
      </c>
      <c r="D8" s="21">
        <v>1</v>
      </c>
      <c r="E8" s="6">
        <f t="shared" si="0"/>
        <v>184.08</v>
      </c>
      <c r="F8" s="6">
        <f t="shared" si="1"/>
        <v>92.04</v>
      </c>
      <c r="G8" s="6">
        <f t="shared" si="2"/>
        <v>0.0054525627044711015</v>
      </c>
      <c r="H8" s="6">
        <f t="shared" si="3"/>
        <v>2.9730440046189213E-05</v>
      </c>
      <c r="I8" s="6">
        <f t="shared" si="4"/>
        <v>0.5018538713195202</v>
      </c>
      <c r="J8" s="6">
        <f t="shared" si="5"/>
        <v>0.0027363897018512556</v>
      </c>
      <c r="K8" s="7">
        <f t="shared" si="6"/>
        <v>0.2518573081583895</v>
      </c>
      <c r="L8" s="31">
        <f t="shared" si="7"/>
        <v>183.28494973085122</v>
      </c>
      <c r="M8" s="28">
        <f t="shared" si="8"/>
        <v>-0.0006273188066999724</v>
      </c>
      <c r="N8" s="29">
        <f t="shared" si="9"/>
        <v>0.00370774263904039</v>
      </c>
    </row>
    <row r="9" spans="1:14" ht="12.75">
      <c r="A9" s="20">
        <v>179.4</v>
      </c>
      <c r="B9" s="20">
        <v>897</v>
      </c>
      <c r="C9" s="20">
        <v>898.5</v>
      </c>
      <c r="D9" s="21">
        <v>1</v>
      </c>
      <c r="E9" s="6">
        <f t="shared" si="0"/>
        <v>179.7</v>
      </c>
      <c r="F9" s="6">
        <f t="shared" si="1"/>
        <v>89.85</v>
      </c>
      <c r="G9" s="6">
        <f t="shared" si="2"/>
        <v>0.005574136008918617</v>
      </c>
      <c r="H9" s="6">
        <f t="shared" si="3"/>
        <v>3.107099224592317E-05</v>
      </c>
      <c r="I9" s="6">
        <f t="shared" si="4"/>
        <v>0.5008361204013377</v>
      </c>
      <c r="J9" s="6">
        <f t="shared" si="5"/>
        <v>0.0027917286532961965</v>
      </c>
      <c r="K9" s="7">
        <f t="shared" si="6"/>
        <v>0.25083681949866327</v>
      </c>
      <c r="L9" s="31">
        <f t="shared" si="7"/>
        <v>178.8843814313657</v>
      </c>
      <c r="M9" s="28">
        <f t="shared" si="8"/>
        <v>-0.002874128030291523</v>
      </c>
      <c r="N9" s="29">
        <f t="shared" si="9"/>
        <v>0.0016722408026754731</v>
      </c>
    </row>
    <row r="10" spans="1:14" ht="12.75">
      <c r="A10" s="20">
        <v>240.6</v>
      </c>
      <c r="B10" s="20">
        <v>1203</v>
      </c>
      <c r="C10" s="20">
        <v>1205</v>
      </c>
      <c r="D10" s="21">
        <v>1</v>
      </c>
      <c r="E10" s="6">
        <f t="shared" si="0"/>
        <v>241</v>
      </c>
      <c r="F10" s="6">
        <f t="shared" si="1"/>
        <v>120.5</v>
      </c>
      <c r="G10" s="6">
        <f t="shared" si="2"/>
        <v>0.004156275976724855</v>
      </c>
      <c r="H10" s="6">
        <f t="shared" si="3"/>
        <v>1.7274629994700146E-05</v>
      </c>
      <c r="I10" s="6">
        <f t="shared" si="4"/>
        <v>0.500831255195345</v>
      </c>
      <c r="J10" s="6">
        <f t="shared" si="5"/>
        <v>0.0020815929143613676</v>
      </c>
      <c r="K10" s="7">
        <f t="shared" si="6"/>
        <v>0.2508319461805448</v>
      </c>
      <c r="L10" s="31">
        <f t="shared" si="7"/>
        <v>240.47224370498688</v>
      </c>
      <c r="M10" s="28">
        <f t="shared" si="8"/>
        <v>-0.0005309904198383952</v>
      </c>
      <c r="N10" s="29">
        <f t="shared" si="9"/>
        <v>0.0016625103906899863</v>
      </c>
    </row>
    <row r="11" spans="1:14" ht="12.75">
      <c r="A11" s="20">
        <v>243</v>
      </c>
      <c r="B11" s="20">
        <v>1215</v>
      </c>
      <c r="C11" s="20">
        <v>1221.2</v>
      </c>
      <c r="D11" s="21">
        <v>1</v>
      </c>
      <c r="E11" s="6">
        <f t="shared" si="0"/>
        <v>244.24000000000004</v>
      </c>
      <c r="F11" s="6">
        <f t="shared" si="1"/>
        <v>122.12000000000002</v>
      </c>
      <c r="G11" s="6">
        <f t="shared" si="2"/>
        <v>0.00411522633744856</v>
      </c>
      <c r="H11" s="6">
        <f t="shared" si="3"/>
        <v>1.693508780843029E-05</v>
      </c>
      <c r="I11" s="6">
        <f t="shared" si="4"/>
        <v>0.5025514403292183</v>
      </c>
      <c r="J11" s="6">
        <f t="shared" si="5"/>
        <v>0.002068112923165507</v>
      </c>
      <c r="K11" s="7">
        <f t="shared" si="6"/>
        <v>0.25255795017697186</v>
      </c>
      <c r="L11" s="31">
        <f t="shared" si="7"/>
        <v>243.72745861145563</v>
      </c>
      <c r="M11" s="28">
        <f t="shared" si="8"/>
        <v>0.0029936568372659345</v>
      </c>
      <c r="N11" s="29">
        <f t="shared" si="9"/>
        <v>0.005102880658436337</v>
      </c>
    </row>
    <row r="12" spans="1:14" ht="12.75">
      <c r="A12" s="20">
        <v>94</v>
      </c>
      <c r="B12" s="20">
        <v>470</v>
      </c>
      <c r="C12" s="20">
        <v>471.8</v>
      </c>
      <c r="D12" s="21">
        <v>0</v>
      </c>
      <c r="E12" s="6" t="str">
        <f t="shared" si="0"/>
        <v> </v>
      </c>
      <c r="F12" s="6" t="str">
        <f t="shared" si="1"/>
        <v> </v>
      </c>
      <c r="G12" s="6" t="str">
        <f t="shared" si="2"/>
        <v> </v>
      </c>
      <c r="H12" s="6" t="str">
        <f t="shared" si="3"/>
        <v> </v>
      </c>
      <c r="I12" s="6" t="str">
        <f t="shared" si="4"/>
        <v> </v>
      </c>
      <c r="J12" s="6" t="str">
        <f t="shared" si="5"/>
        <v> </v>
      </c>
      <c r="K12" s="7" t="str">
        <f t="shared" si="6"/>
        <v> </v>
      </c>
      <c r="L12" s="31" t="str">
        <f t="shared" si="7"/>
        <v> </v>
      </c>
      <c r="M12" s="28" t="str">
        <f t="shared" si="8"/>
        <v> </v>
      </c>
      <c r="N12" s="29" t="str">
        <f t="shared" si="9"/>
        <v> </v>
      </c>
    </row>
    <row r="13" spans="1:14" ht="12.75">
      <c r="A13" s="20">
        <v>94</v>
      </c>
      <c r="B13" s="20">
        <v>470</v>
      </c>
      <c r="C13" s="20">
        <v>471.3</v>
      </c>
      <c r="D13" s="21">
        <v>0</v>
      </c>
      <c r="E13" s="6" t="str">
        <f t="shared" si="0"/>
        <v> </v>
      </c>
      <c r="F13" s="6" t="str">
        <f t="shared" si="1"/>
        <v> </v>
      </c>
      <c r="G13" s="6" t="str">
        <f t="shared" si="2"/>
        <v> </v>
      </c>
      <c r="H13" s="6" t="str">
        <f t="shared" si="3"/>
        <v> </v>
      </c>
      <c r="I13" s="6" t="str">
        <f t="shared" si="4"/>
        <v> </v>
      </c>
      <c r="J13" s="6" t="str">
        <f t="shared" si="5"/>
        <v> </v>
      </c>
      <c r="K13" s="7" t="str">
        <f t="shared" si="6"/>
        <v> </v>
      </c>
      <c r="L13" s="31" t="str">
        <f t="shared" si="7"/>
        <v> </v>
      </c>
      <c r="M13" s="28" t="str">
        <f t="shared" si="8"/>
        <v> </v>
      </c>
      <c r="N13" s="29" t="str">
        <f t="shared" si="9"/>
        <v> </v>
      </c>
    </row>
    <row r="14" spans="1:14" ht="12.75">
      <c r="A14" s="20">
        <v>94</v>
      </c>
      <c r="B14" s="20">
        <v>470</v>
      </c>
      <c r="C14" s="20">
        <v>478.5</v>
      </c>
      <c r="D14" s="21">
        <v>0</v>
      </c>
      <c r="E14" s="6" t="str">
        <f t="shared" si="0"/>
        <v> </v>
      </c>
      <c r="F14" s="6" t="str">
        <f t="shared" si="1"/>
        <v> </v>
      </c>
      <c r="G14" s="6" t="str">
        <f t="shared" si="2"/>
        <v> </v>
      </c>
      <c r="H14" s="6" t="str">
        <f t="shared" si="3"/>
        <v> </v>
      </c>
      <c r="I14" s="6" t="str">
        <f t="shared" si="4"/>
        <v> </v>
      </c>
      <c r="J14" s="6" t="str">
        <f t="shared" si="5"/>
        <v> </v>
      </c>
      <c r="K14" s="7" t="str">
        <f t="shared" si="6"/>
        <v> </v>
      </c>
      <c r="L14" s="31" t="str">
        <f t="shared" si="7"/>
        <v> </v>
      </c>
      <c r="M14" s="28" t="str">
        <f t="shared" si="8"/>
        <v> </v>
      </c>
      <c r="N14" s="29" t="str">
        <f t="shared" si="9"/>
        <v> </v>
      </c>
    </row>
    <row r="15" spans="1:14" ht="12.75">
      <c r="A15" s="20">
        <v>94</v>
      </c>
      <c r="B15" s="20">
        <v>470</v>
      </c>
      <c r="C15" s="20">
        <v>479.6</v>
      </c>
      <c r="D15" s="21">
        <v>1</v>
      </c>
      <c r="E15" s="6">
        <f t="shared" si="0"/>
        <v>95.92</v>
      </c>
      <c r="F15" s="6">
        <f t="shared" si="1"/>
        <v>47.96</v>
      </c>
      <c r="G15" s="6">
        <f t="shared" si="2"/>
        <v>0.010638297872340425</v>
      </c>
      <c r="H15" s="6">
        <f t="shared" si="3"/>
        <v>0.00011317338162064282</v>
      </c>
      <c r="I15" s="6">
        <f t="shared" si="4"/>
        <v>0.5102127659574468</v>
      </c>
      <c r="J15" s="6">
        <f t="shared" si="5"/>
        <v>0.00542779538252603</v>
      </c>
      <c r="K15" s="7">
        <f t="shared" si="6"/>
        <v>0.2603170665459484</v>
      </c>
      <c r="L15" s="31">
        <f t="shared" si="7"/>
        <v>94.7109540042209</v>
      </c>
      <c r="M15" s="28">
        <f t="shared" si="8"/>
        <v>0.007563340470434943</v>
      </c>
      <c r="N15" s="29">
        <f t="shared" si="9"/>
        <v>0.020425531914893602</v>
      </c>
    </row>
    <row r="16" spans="1:14" ht="12.75">
      <c r="A16" s="20">
        <v>94</v>
      </c>
      <c r="B16" s="20">
        <v>470</v>
      </c>
      <c r="C16" s="20">
        <v>471.3</v>
      </c>
      <c r="D16" s="21">
        <v>0</v>
      </c>
      <c r="E16" s="6" t="str">
        <f t="shared" si="0"/>
        <v> </v>
      </c>
      <c r="F16" s="6" t="str">
        <f t="shared" si="1"/>
        <v> </v>
      </c>
      <c r="G16" s="6" t="str">
        <f t="shared" si="2"/>
        <v> </v>
      </c>
      <c r="H16" s="6" t="str">
        <f t="shared" si="3"/>
        <v> </v>
      </c>
      <c r="I16" s="6" t="str">
        <f t="shared" si="4"/>
        <v> </v>
      </c>
      <c r="J16" s="6" t="str">
        <f t="shared" si="5"/>
        <v> </v>
      </c>
      <c r="K16" s="7" t="str">
        <f t="shared" si="6"/>
        <v> </v>
      </c>
      <c r="L16" s="31" t="str">
        <f t="shared" si="7"/>
        <v> </v>
      </c>
      <c r="M16" s="28" t="str">
        <f t="shared" si="8"/>
        <v> </v>
      </c>
      <c r="N16" s="29" t="str">
        <f t="shared" si="9"/>
        <v> </v>
      </c>
    </row>
    <row r="17" spans="1:14" ht="12.75">
      <c r="A17" s="20">
        <v>94</v>
      </c>
      <c r="B17" s="20">
        <v>470</v>
      </c>
      <c r="C17" s="20">
        <v>471.7</v>
      </c>
      <c r="D17" s="21">
        <v>1</v>
      </c>
      <c r="E17" s="6">
        <f t="shared" si="0"/>
        <v>94.33999999999999</v>
      </c>
      <c r="F17" s="6">
        <f t="shared" si="1"/>
        <v>47.169999999999995</v>
      </c>
      <c r="G17" s="6">
        <f t="shared" si="2"/>
        <v>0.010638297872340425</v>
      </c>
      <c r="H17" s="6">
        <f t="shared" si="3"/>
        <v>0.00011317338162064282</v>
      </c>
      <c r="I17" s="6">
        <f t="shared" si="4"/>
        <v>0.5018085106382978</v>
      </c>
      <c r="J17" s="6">
        <f t="shared" si="5"/>
        <v>0.005338388411045721</v>
      </c>
      <c r="K17" s="7">
        <f t="shared" si="6"/>
        <v>0.2518117813490266</v>
      </c>
      <c r="L17" s="31">
        <f t="shared" si="7"/>
        <v>93.12353438933799</v>
      </c>
      <c r="M17" s="28">
        <f t="shared" si="8"/>
        <v>-0.009324102241085153</v>
      </c>
      <c r="N17" s="29">
        <f t="shared" si="9"/>
        <v>0.003617021276595578</v>
      </c>
    </row>
    <row r="18" spans="1:14" ht="12.75">
      <c r="A18" s="20">
        <v>94</v>
      </c>
      <c r="B18" s="20">
        <v>470</v>
      </c>
      <c r="C18" s="20">
        <v>479.6</v>
      </c>
      <c r="D18" s="21">
        <v>1</v>
      </c>
      <c r="E18" s="6">
        <f t="shared" si="0"/>
        <v>95.92</v>
      </c>
      <c r="F18" s="6">
        <f t="shared" si="1"/>
        <v>47.96</v>
      </c>
      <c r="G18" s="6">
        <f t="shared" si="2"/>
        <v>0.010638297872340425</v>
      </c>
      <c r="H18" s="6">
        <f t="shared" si="3"/>
        <v>0.00011317338162064282</v>
      </c>
      <c r="I18" s="6">
        <f t="shared" si="4"/>
        <v>0.5102127659574468</v>
      </c>
      <c r="J18" s="6">
        <f t="shared" si="5"/>
        <v>0.00542779538252603</v>
      </c>
      <c r="K18" s="7">
        <f t="shared" si="6"/>
        <v>0.2603170665459484</v>
      </c>
      <c r="L18" s="31">
        <f t="shared" si="7"/>
        <v>94.7109540042209</v>
      </c>
      <c r="M18" s="28">
        <f t="shared" si="8"/>
        <v>0.007563340470434943</v>
      </c>
      <c r="N18" s="29">
        <f t="shared" si="9"/>
        <v>0.020425531914893602</v>
      </c>
    </row>
    <row r="19" spans="1:14" ht="12.75">
      <c r="A19" s="20">
        <v>94</v>
      </c>
      <c r="B19" s="20">
        <v>470</v>
      </c>
      <c r="C19" s="20">
        <v>478.4</v>
      </c>
      <c r="D19" s="21">
        <v>0</v>
      </c>
      <c r="E19" s="6" t="str">
        <f t="shared" si="0"/>
        <v> </v>
      </c>
      <c r="F19" s="6" t="str">
        <f t="shared" si="1"/>
        <v> </v>
      </c>
      <c r="G19" s="6" t="str">
        <f t="shared" si="2"/>
        <v> </v>
      </c>
      <c r="H19" s="6" t="str">
        <f t="shared" si="3"/>
        <v> </v>
      </c>
      <c r="I19" s="6" t="str">
        <f t="shared" si="4"/>
        <v> </v>
      </c>
      <c r="J19" s="6" t="str">
        <f t="shared" si="5"/>
        <v> </v>
      </c>
      <c r="K19" s="7" t="str">
        <f t="shared" si="6"/>
        <v> </v>
      </c>
      <c r="L19" s="31" t="str">
        <f t="shared" si="7"/>
        <v> </v>
      </c>
      <c r="M19" s="28" t="str">
        <f t="shared" si="8"/>
        <v> </v>
      </c>
      <c r="N19" s="29" t="str">
        <f t="shared" si="9"/>
        <v> </v>
      </c>
    </row>
    <row r="20" spans="1:14" ht="12.75">
      <c r="A20" s="20">
        <v>94</v>
      </c>
      <c r="B20" s="20">
        <v>470</v>
      </c>
      <c r="C20" s="20">
        <v>475.2</v>
      </c>
      <c r="D20" s="21">
        <v>1</v>
      </c>
      <c r="E20" s="6">
        <f t="shared" si="0"/>
        <v>95.03999999999999</v>
      </c>
      <c r="F20" s="6">
        <f t="shared" si="1"/>
        <v>47.519999999999996</v>
      </c>
      <c r="G20" s="6">
        <f t="shared" si="2"/>
        <v>0.010638297872340425</v>
      </c>
      <c r="H20" s="6">
        <f t="shared" si="3"/>
        <v>0.00011317338162064282</v>
      </c>
      <c r="I20" s="6">
        <f t="shared" si="4"/>
        <v>0.5055319148936169</v>
      </c>
      <c r="J20" s="6">
        <f t="shared" si="5"/>
        <v>0.0053779990946129464</v>
      </c>
      <c r="K20" s="7">
        <f t="shared" si="6"/>
        <v>0.2555625169760071</v>
      </c>
      <c r="L20" s="31">
        <f t="shared" si="7"/>
        <v>93.82682156048864</v>
      </c>
      <c r="M20" s="28">
        <f t="shared" si="8"/>
        <v>-0.0018423238245889317</v>
      </c>
      <c r="N20" s="29">
        <f t="shared" si="9"/>
        <v>0.011063829787233859</v>
      </c>
    </row>
    <row r="21" spans="1:14" ht="12.75">
      <c r="A21" s="20">
        <v>94</v>
      </c>
      <c r="B21" s="20">
        <v>470</v>
      </c>
      <c r="C21" s="20">
        <v>477.7</v>
      </c>
      <c r="D21" s="21">
        <v>0</v>
      </c>
      <c r="E21" s="6" t="str">
        <f t="shared" si="0"/>
        <v> </v>
      </c>
      <c r="F21" s="6" t="str">
        <f t="shared" si="1"/>
        <v> </v>
      </c>
      <c r="G21" s="6" t="str">
        <f t="shared" si="2"/>
        <v> </v>
      </c>
      <c r="H21" s="6" t="str">
        <f t="shared" si="3"/>
        <v> </v>
      </c>
      <c r="I21" s="6" t="str">
        <f t="shared" si="4"/>
        <v> </v>
      </c>
      <c r="J21" s="6" t="str">
        <f t="shared" si="5"/>
        <v> </v>
      </c>
      <c r="K21" s="7" t="str">
        <f t="shared" si="6"/>
        <v> </v>
      </c>
      <c r="L21" s="31" t="str">
        <f t="shared" si="7"/>
        <v> </v>
      </c>
      <c r="M21" s="28" t="str">
        <f t="shared" si="8"/>
        <v> </v>
      </c>
      <c r="N21" s="29" t="str">
        <f t="shared" si="9"/>
        <v> </v>
      </c>
    </row>
    <row r="22" spans="1:14" ht="12.75">
      <c r="A22" s="20">
        <v>94</v>
      </c>
      <c r="B22" s="20">
        <v>470</v>
      </c>
      <c r="C22" s="20">
        <v>476.3</v>
      </c>
      <c r="D22" s="21">
        <v>0</v>
      </c>
      <c r="E22" s="6" t="str">
        <f t="shared" si="0"/>
        <v> </v>
      </c>
      <c r="F22" s="6" t="str">
        <f>IF(D22&lt;&gt;0,(E22-#REF!)/#REF!," ")</f>
        <v> </v>
      </c>
      <c r="G22" s="6" t="str">
        <f t="shared" si="2"/>
        <v> </v>
      </c>
      <c r="H22" s="6" t="str">
        <f t="shared" si="3"/>
        <v> </v>
      </c>
      <c r="I22" s="6" t="str">
        <f t="shared" si="4"/>
        <v> </v>
      </c>
      <c r="J22" s="6" t="str">
        <f t="shared" si="5"/>
        <v> </v>
      </c>
      <c r="K22" s="7" t="str">
        <f t="shared" si="6"/>
        <v> </v>
      </c>
      <c r="L22" s="31" t="str">
        <f t="shared" si="7"/>
        <v> </v>
      </c>
      <c r="M22" s="28" t="str">
        <f t="shared" si="8"/>
        <v> </v>
      </c>
      <c r="N22" s="29" t="str">
        <f t="shared" si="9"/>
        <v> </v>
      </c>
    </row>
    <row r="23" spans="1:9" ht="12.75">
      <c r="A23" s="3"/>
      <c r="B23" s="4"/>
      <c r="C23" s="2"/>
      <c r="D23" s="2"/>
      <c r="E23" s="15" t="s">
        <v>12</v>
      </c>
      <c r="F23" s="2"/>
      <c r="G23" s="2"/>
      <c r="H23" s="2"/>
      <c r="I23" s="2"/>
    </row>
    <row r="24" spans="1:9" ht="12.75">
      <c r="A24" s="15"/>
      <c r="B24" s="15"/>
      <c r="C24" s="15"/>
      <c r="D24" s="15"/>
      <c r="E24" s="8">
        <f>SUMIF($D6:$D22,"&lt;&gt;0",G6:G22)</f>
        <v>0.08292903999382605</v>
      </c>
      <c r="F24" s="8">
        <f>SUMIF($D6:$D22,"&lt;&gt;0",H6:H22)</f>
        <v>0.0007698681328584476</v>
      </c>
      <c r="G24" s="8">
        <f>SUMIF($D6:$D22,"&lt;&gt;0",I6:I22)</f>
        <v>5.0449114058862605</v>
      </c>
      <c r="H24" s="8">
        <f>SUMIF($D6:$D22,"&lt;&gt;0",J6:J22)</f>
        <v>0.04190652000010179</v>
      </c>
      <c r="I24" s="8">
        <f>SUMIF($D6:$D22,"&lt;&gt;0",K6:K22)</f>
        <v>2.5452747629644974</v>
      </c>
    </row>
    <row r="25" spans="5:9" ht="12.75">
      <c r="E25" s="8" t="s">
        <v>5</v>
      </c>
      <c r="F25" s="8" t="s">
        <v>6</v>
      </c>
      <c r="G25" s="8" t="s">
        <v>7</v>
      </c>
      <c r="H25" s="8" t="s">
        <v>8</v>
      </c>
      <c r="I25" s="8" t="s">
        <v>9</v>
      </c>
    </row>
    <row r="26" spans="1:3" ht="15">
      <c r="A26" s="17" t="s">
        <v>13</v>
      </c>
      <c r="B26" s="18"/>
      <c r="C26" s="16"/>
    </row>
    <row r="27" spans="1:2" ht="15">
      <c r="A27" s="19" t="s">
        <v>10</v>
      </c>
      <c r="B27" s="19">
        <f>(F24*G24-E24*H24)/(F24*I24-H24*H24)</f>
        <v>2.0093919175732835</v>
      </c>
    </row>
    <row r="28" spans="1:2" ht="15">
      <c r="A28" s="19" t="s">
        <v>11</v>
      </c>
      <c r="B28" s="19">
        <f>(E24*I24-G24*H24)/(F24*I24-H24*H24)</f>
        <v>-1.6594823625937805</v>
      </c>
    </row>
    <row r="29" ht="15.75">
      <c r="A29" s="9" t="s">
        <v>16</v>
      </c>
    </row>
    <row r="30" ht="15.75">
      <c r="A30" s="10" t="s">
        <v>34</v>
      </c>
    </row>
    <row r="31" ht="15.75">
      <c r="A31" s="10" t="s">
        <v>17</v>
      </c>
    </row>
    <row r="32" ht="15.75">
      <c r="A32" s="10" t="s">
        <v>18</v>
      </c>
    </row>
    <row r="33" ht="15.75">
      <c r="A33" s="10" t="s">
        <v>19</v>
      </c>
    </row>
  </sheetData>
  <sheetProtection/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6"/>
  <sheetViews>
    <sheetView tabSelected="1" zoomScale="86" zoomScaleNormal="86" zoomScalePageLayoutView="0" workbookViewId="0" topLeftCell="A1">
      <selection activeCell="S32" sqref="S32"/>
    </sheetView>
  </sheetViews>
  <sheetFormatPr defaultColWidth="9.00390625" defaultRowHeight="12.75"/>
  <cols>
    <col min="1" max="1" width="14.625" style="0" customWidth="1"/>
    <col min="3" max="3" width="9.625" style="0" customWidth="1"/>
    <col min="4" max="4" width="10.25390625" style="0" customWidth="1"/>
    <col min="5" max="6" width="10.375" style="0" customWidth="1"/>
    <col min="7" max="7" width="8.125" style="0" customWidth="1"/>
    <col min="8" max="8" width="8.25390625" style="0" customWidth="1"/>
    <col min="18" max="18" width="12.625" style="0" customWidth="1"/>
    <col min="19" max="19" width="12.375" style="0" customWidth="1"/>
    <col min="20" max="20" width="13.25390625" style="0" customWidth="1"/>
  </cols>
  <sheetData>
    <row r="1" spans="1:9" ht="13.5" thickBot="1">
      <c r="A1" s="1" t="s">
        <v>45</v>
      </c>
      <c r="B1" s="1"/>
      <c r="C1" s="1"/>
      <c r="D1" s="1"/>
      <c r="E1" s="1"/>
      <c r="F1" s="1"/>
      <c r="G1" s="1"/>
      <c r="H1" s="1"/>
      <c r="I1" s="1"/>
    </row>
    <row r="2" spans="1:20" ht="38.25">
      <c r="A2" s="37" t="s">
        <v>46</v>
      </c>
      <c r="B2" s="37" t="s">
        <v>47</v>
      </c>
      <c r="C2" s="5" t="s">
        <v>66</v>
      </c>
      <c r="D2" s="5" t="s">
        <v>48</v>
      </c>
      <c r="E2" s="37" t="s">
        <v>49</v>
      </c>
      <c r="F2" s="37" t="s">
        <v>50</v>
      </c>
      <c r="G2" s="5" t="s">
        <v>51</v>
      </c>
      <c r="H2" s="37" t="s">
        <v>52</v>
      </c>
      <c r="I2" s="5" t="s">
        <v>53</v>
      </c>
      <c r="J2" s="6" t="s">
        <v>54</v>
      </c>
      <c r="K2" s="6" t="s">
        <v>0</v>
      </c>
      <c r="L2" s="6" t="s">
        <v>55</v>
      </c>
      <c r="M2" s="6" t="s">
        <v>56</v>
      </c>
      <c r="N2" s="6" t="s">
        <v>1</v>
      </c>
      <c r="O2" s="6" t="s">
        <v>2</v>
      </c>
      <c r="P2" s="6" t="s">
        <v>3</v>
      </c>
      <c r="Q2" s="7" t="s">
        <v>4</v>
      </c>
      <c r="R2" s="38" t="s">
        <v>15</v>
      </c>
      <c r="S2" s="39" t="s">
        <v>14</v>
      </c>
      <c r="T2" s="40" t="s">
        <v>20</v>
      </c>
    </row>
    <row r="3" spans="1:20" ht="12.75">
      <c r="A3" s="41">
        <v>38545</v>
      </c>
      <c r="B3" s="42">
        <v>0.4166666666666667</v>
      </c>
      <c r="C3" s="43">
        <v>469</v>
      </c>
      <c r="D3" s="43">
        <v>300</v>
      </c>
      <c r="E3" s="43">
        <v>2</v>
      </c>
      <c r="F3" s="43">
        <v>0</v>
      </c>
      <c r="G3" s="43">
        <v>10</v>
      </c>
      <c r="H3" s="43">
        <v>4788</v>
      </c>
      <c r="I3" s="44">
        <v>1</v>
      </c>
      <c r="J3" s="6">
        <f>IF(I3&lt;&gt;0,60*H3/(G3*D3)," ")</f>
        <v>95.76</v>
      </c>
      <c r="K3" s="6">
        <f>IF(I3&lt;&gt;0,(J3-F3)/E3," ")</f>
        <v>47.88</v>
      </c>
      <c r="L3" s="6">
        <f>IF(I3&lt;&gt;0,C3*60/D3," ")</f>
        <v>93.8</v>
      </c>
      <c r="M3" s="6">
        <f>IF(I3&lt;&gt;0,1/L3," ")</f>
        <v>0.010660980810234541</v>
      </c>
      <c r="N3" s="6">
        <f>IF(I3&lt;&gt;0,1/(L3*L3)," ")</f>
        <v>0.00011365651183618917</v>
      </c>
      <c r="O3" s="6">
        <f>IF(I3&lt;&gt;0,K3/L3," ")</f>
        <v>0.5104477611940299</v>
      </c>
      <c r="P3" s="6">
        <f>IF(I3&lt;&gt;0,K3/(L3*L3)," ")</f>
        <v>0.005441873786716738</v>
      </c>
      <c r="Q3" s="7">
        <f>IF(I3&lt;&gt;0,(K3*K3)/(L3*L3)," ")</f>
        <v>0.26055691690799737</v>
      </c>
      <c r="R3" s="45">
        <f>IF(I3&lt;&gt;0,$B$22*K3+$B$23," ")</f>
        <v>94.55020265081501</v>
      </c>
      <c r="S3" s="46">
        <f>IF(I3&lt;&gt;0,R3/L3-1," ")</f>
        <v>0.007997896064126042</v>
      </c>
      <c r="T3" s="47">
        <f>IF(I3&lt;&gt;0,J3/L3-1," ")</f>
        <v>0.020895522388059806</v>
      </c>
    </row>
    <row r="4" spans="1:20" ht="12.75">
      <c r="A4" s="41">
        <v>38545</v>
      </c>
      <c r="B4" s="42">
        <v>0.425</v>
      </c>
      <c r="C4" s="43">
        <v>480</v>
      </c>
      <c r="D4" s="43">
        <v>300</v>
      </c>
      <c r="E4" s="43">
        <v>2</v>
      </c>
      <c r="F4" s="43">
        <v>0</v>
      </c>
      <c r="G4" s="43">
        <v>10</v>
      </c>
      <c r="H4" s="43">
        <v>4806</v>
      </c>
      <c r="I4" s="44">
        <v>1</v>
      </c>
      <c r="J4" s="6">
        <f aca="true" t="shared" si="0" ref="J4:J19">IF(I4&lt;&gt;0,60*H4/(G4*D4)," ")</f>
        <v>96.12</v>
      </c>
      <c r="K4" s="6">
        <f aca="true" t="shared" si="1" ref="K4:K19">IF(I4&lt;&gt;0,(J4-F4)/E4," ")</f>
        <v>48.06</v>
      </c>
      <c r="L4" s="6">
        <f aca="true" t="shared" si="2" ref="L4:L19">IF(I4&lt;&gt;0,C4*60/D4," ")</f>
        <v>96</v>
      </c>
      <c r="M4" s="6">
        <f aca="true" t="shared" si="3" ref="M4:M19">IF(I4&lt;&gt;0,1/L4," ")</f>
        <v>0.010416666666666666</v>
      </c>
      <c r="N4" s="6">
        <f aca="true" t="shared" si="4" ref="N4:N19">IF(I4&lt;&gt;0,1/(L4*L4)," ")</f>
        <v>0.00010850694444444444</v>
      </c>
      <c r="O4" s="6">
        <f aca="true" t="shared" si="5" ref="O4:O19">IF(I4&lt;&gt;0,K4/L4," ")</f>
        <v>0.500625</v>
      </c>
      <c r="P4" s="6">
        <f aca="true" t="shared" si="6" ref="P4:P19">IF(I4&lt;&gt;0,K4/(L4*L4)," ")</f>
        <v>0.00521484375</v>
      </c>
      <c r="Q4" s="7">
        <f aca="true" t="shared" si="7" ref="Q4:Q19">IF(I4&lt;&gt;0,(K4*K4)/(L4*L4)," ")</f>
        <v>0.250625390625</v>
      </c>
      <c r="R4" s="45">
        <f aca="true" t="shared" si="8" ref="R4:R19">IF(I4&lt;&gt;0,$B$22*K4+$B$23," ")</f>
        <v>94.9118931959782</v>
      </c>
      <c r="S4" s="46">
        <f aca="true" t="shared" si="9" ref="S4:S19">IF(I4&lt;&gt;0,R4/L4-1," ")</f>
        <v>-0.01133444587522714</v>
      </c>
      <c r="T4" s="47">
        <f aca="true" t="shared" si="10" ref="T4:T19">IF(I4&lt;&gt;0,J4/L4-1," ")</f>
        <v>0.0012499999999999734</v>
      </c>
    </row>
    <row r="5" spans="1:20" ht="12.75">
      <c r="A5" s="41">
        <v>38545</v>
      </c>
      <c r="B5" s="42">
        <v>0.43333333333333335</v>
      </c>
      <c r="C5" s="43">
        <v>917</v>
      </c>
      <c r="D5" s="43">
        <v>300</v>
      </c>
      <c r="E5" s="43">
        <v>2</v>
      </c>
      <c r="F5" s="43">
        <v>0</v>
      </c>
      <c r="G5" s="43">
        <v>10</v>
      </c>
      <c r="H5" s="43">
        <v>9204</v>
      </c>
      <c r="I5" s="44">
        <v>1</v>
      </c>
      <c r="J5" s="6">
        <f t="shared" si="0"/>
        <v>184.08</v>
      </c>
      <c r="K5" s="6">
        <f t="shared" si="1"/>
        <v>92.04</v>
      </c>
      <c r="L5" s="6">
        <f t="shared" si="2"/>
        <v>183.4</v>
      </c>
      <c r="M5" s="6">
        <f t="shared" si="3"/>
        <v>0.0054525627044711015</v>
      </c>
      <c r="N5" s="6">
        <f t="shared" si="4"/>
        <v>2.9730440046189207E-05</v>
      </c>
      <c r="O5" s="6">
        <f t="shared" si="5"/>
        <v>0.5018538713195202</v>
      </c>
      <c r="P5" s="6">
        <f t="shared" si="6"/>
        <v>0.0027363897018512547</v>
      </c>
      <c r="Q5" s="7">
        <f t="shared" si="7"/>
        <v>0.2518573081583895</v>
      </c>
      <c r="R5" s="45">
        <f t="shared" si="8"/>
        <v>183.2849497308513</v>
      </c>
      <c r="S5" s="46">
        <f t="shared" si="9"/>
        <v>-0.0006273188066995283</v>
      </c>
      <c r="T5" s="47">
        <f t="shared" si="10"/>
        <v>0.00370774263904039</v>
      </c>
    </row>
    <row r="6" spans="1:20" ht="12.75">
      <c r="A6" s="41">
        <v>38545</v>
      </c>
      <c r="B6" s="42">
        <v>0.441666666666667</v>
      </c>
      <c r="C6" s="43">
        <v>897</v>
      </c>
      <c r="D6" s="43">
        <v>300</v>
      </c>
      <c r="E6" s="43">
        <v>2</v>
      </c>
      <c r="F6" s="43">
        <v>0</v>
      </c>
      <c r="G6" s="43">
        <v>10</v>
      </c>
      <c r="H6" s="43">
        <v>8985</v>
      </c>
      <c r="I6" s="44">
        <v>1</v>
      </c>
      <c r="J6" s="6">
        <f t="shared" si="0"/>
        <v>179.7</v>
      </c>
      <c r="K6" s="6">
        <f t="shared" si="1"/>
        <v>89.85</v>
      </c>
      <c r="L6" s="6">
        <f t="shared" si="2"/>
        <v>179.4</v>
      </c>
      <c r="M6" s="6">
        <f t="shared" si="3"/>
        <v>0.005574136008918617</v>
      </c>
      <c r="N6" s="6">
        <f t="shared" si="4"/>
        <v>3.1070992245923174E-05</v>
      </c>
      <c r="O6" s="6">
        <f t="shared" si="5"/>
        <v>0.5008361204013377</v>
      </c>
      <c r="P6" s="6">
        <f t="shared" si="6"/>
        <v>0.002791728653296197</v>
      </c>
      <c r="Q6" s="7">
        <f t="shared" si="7"/>
        <v>0.2508368194986633</v>
      </c>
      <c r="R6" s="45">
        <f t="shared" si="8"/>
        <v>178.88438143136577</v>
      </c>
      <c r="S6" s="46">
        <f t="shared" si="9"/>
        <v>-0.00287412803029119</v>
      </c>
      <c r="T6" s="47">
        <f t="shared" si="10"/>
        <v>0.0016722408026754731</v>
      </c>
    </row>
    <row r="7" spans="1:20" ht="12.75">
      <c r="A7" s="41">
        <v>38545</v>
      </c>
      <c r="B7" s="42">
        <v>0.45</v>
      </c>
      <c r="C7" s="43">
        <v>1203</v>
      </c>
      <c r="D7" s="43">
        <v>300</v>
      </c>
      <c r="E7" s="43">
        <v>2</v>
      </c>
      <c r="F7" s="43">
        <v>0</v>
      </c>
      <c r="G7" s="43">
        <v>10</v>
      </c>
      <c r="H7" s="43">
        <v>12050</v>
      </c>
      <c r="I7" s="44">
        <v>1</v>
      </c>
      <c r="J7" s="6">
        <f t="shared" si="0"/>
        <v>241</v>
      </c>
      <c r="K7" s="6">
        <f t="shared" si="1"/>
        <v>120.5</v>
      </c>
      <c r="L7" s="6">
        <f t="shared" si="2"/>
        <v>240.6</v>
      </c>
      <c r="M7" s="6">
        <f t="shared" si="3"/>
        <v>0.004156275976724855</v>
      </c>
      <c r="N7" s="6">
        <f t="shared" si="4"/>
        <v>1.7274629994700143E-05</v>
      </c>
      <c r="O7" s="6">
        <f t="shared" si="5"/>
        <v>0.500831255195345</v>
      </c>
      <c r="P7" s="6">
        <f t="shared" si="6"/>
        <v>0.002081592914361367</v>
      </c>
      <c r="Q7" s="7">
        <f t="shared" si="7"/>
        <v>0.2508319461805448</v>
      </c>
      <c r="R7" s="45">
        <f t="shared" si="8"/>
        <v>240.472243704987</v>
      </c>
      <c r="S7" s="46">
        <f t="shared" si="9"/>
        <v>-0.0005309904198379511</v>
      </c>
      <c r="T7" s="47">
        <f t="shared" si="10"/>
        <v>0.0016625103906899863</v>
      </c>
    </row>
    <row r="8" spans="1:20" ht="12.75">
      <c r="A8" s="41">
        <v>38545</v>
      </c>
      <c r="B8" s="42">
        <v>0.458333333333333</v>
      </c>
      <c r="C8" s="43">
        <v>1215</v>
      </c>
      <c r="D8" s="43">
        <v>300</v>
      </c>
      <c r="E8" s="43">
        <v>2</v>
      </c>
      <c r="F8" s="43">
        <v>0</v>
      </c>
      <c r="G8" s="43">
        <v>10</v>
      </c>
      <c r="H8" s="43">
        <v>12212</v>
      </c>
      <c r="I8" s="44">
        <v>1</v>
      </c>
      <c r="J8" s="6">
        <f t="shared" si="0"/>
        <v>244.24</v>
      </c>
      <c r="K8" s="6">
        <f t="shared" si="1"/>
        <v>122.12</v>
      </c>
      <c r="L8" s="6">
        <f t="shared" si="2"/>
        <v>243</v>
      </c>
      <c r="M8" s="6">
        <f t="shared" si="3"/>
        <v>0.00411522633744856</v>
      </c>
      <c r="N8" s="6">
        <f t="shared" si="4"/>
        <v>1.6935087808430286E-05</v>
      </c>
      <c r="O8" s="6">
        <f t="shared" si="5"/>
        <v>0.5025514403292182</v>
      </c>
      <c r="P8" s="6">
        <f t="shared" si="6"/>
        <v>0.0020681129231655067</v>
      </c>
      <c r="Q8" s="7">
        <f t="shared" si="7"/>
        <v>0.2525579501769717</v>
      </c>
      <c r="R8" s="45">
        <f t="shared" si="8"/>
        <v>243.72745861145572</v>
      </c>
      <c r="S8" s="46">
        <f t="shared" si="9"/>
        <v>0.0029936568372663785</v>
      </c>
      <c r="T8" s="47">
        <f t="shared" si="10"/>
        <v>0.005102880658436337</v>
      </c>
    </row>
    <row r="9" spans="1:20" ht="12.75">
      <c r="A9" s="41">
        <v>38545</v>
      </c>
      <c r="B9" s="42">
        <v>0.466666666666667</v>
      </c>
      <c r="C9" s="43">
        <v>470</v>
      </c>
      <c r="D9" s="43">
        <v>300</v>
      </c>
      <c r="E9" s="43">
        <v>2</v>
      </c>
      <c r="F9" s="43">
        <v>0</v>
      </c>
      <c r="G9" s="43">
        <v>10</v>
      </c>
      <c r="H9" s="43">
        <v>4718</v>
      </c>
      <c r="I9" s="44">
        <v>0</v>
      </c>
      <c r="J9" s="6" t="str">
        <f t="shared" si="0"/>
        <v> </v>
      </c>
      <c r="K9" s="6" t="str">
        <f t="shared" si="1"/>
        <v> </v>
      </c>
      <c r="L9" s="6" t="str">
        <f t="shared" si="2"/>
        <v> </v>
      </c>
      <c r="M9" s="6" t="str">
        <f t="shared" si="3"/>
        <v> </v>
      </c>
      <c r="N9" s="6" t="str">
        <f t="shared" si="4"/>
        <v> </v>
      </c>
      <c r="O9" s="6" t="str">
        <f t="shared" si="5"/>
        <v> </v>
      </c>
      <c r="P9" s="6" t="str">
        <f t="shared" si="6"/>
        <v> </v>
      </c>
      <c r="Q9" s="7" t="str">
        <f t="shared" si="7"/>
        <v> </v>
      </c>
      <c r="R9" s="45" t="str">
        <f t="shared" si="8"/>
        <v> </v>
      </c>
      <c r="S9" s="46" t="str">
        <f t="shared" si="9"/>
        <v> </v>
      </c>
      <c r="T9" s="47" t="str">
        <f t="shared" si="10"/>
        <v> </v>
      </c>
    </row>
    <row r="10" spans="1:20" ht="12.75">
      <c r="A10" s="41">
        <v>38545</v>
      </c>
      <c r="B10" s="42">
        <v>0.475</v>
      </c>
      <c r="C10" s="43">
        <v>470</v>
      </c>
      <c r="D10" s="43">
        <v>300</v>
      </c>
      <c r="E10" s="43">
        <v>2</v>
      </c>
      <c r="F10" s="43">
        <v>0</v>
      </c>
      <c r="G10" s="43">
        <v>10</v>
      </c>
      <c r="H10" s="43">
        <v>4713</v>
      </c>
      <c r="I10" s="44">
        <v>0</v>
      </c>
      <c r="J10" s="6" t="str">
        <f t="shared" si="0"/>
        <v> </v>
      </c>
      <c r="K10" s="6" t="str">
        <f t="shared" si="1"/>
        <v> </v>
      </c>
      <c r="L10" s="6" t="str">
        <f t="shared" si="2"/>
        <v> </v>
      </c>
      <c r="M10" s="6" t="str">
        <f t="shared" si="3"/>
        <v> </v>
      </c>
      <c r="N10" s="6" t="str">
        <f t="shared" si="4"/>
        <v> </v>
      </c>
      <c r="O10" s="6" t="str">
        <f t="shared" si="5"/>
        <v> </v>
      </c>
      <c r="P10" s="6" t="str">
        <f t="shared" si="6"/>
        <v> </v>
      </c>
      <c r="Q10" s="7" t="str">
        <f t="shared" si="7"/>
        <v> </v>
      </c>
      <c r="R10" s="45" t="str">
        <f t="shared" si="8"/>
        <v> </v>
      </c>
      <c r="S10" s="46" t="str">
        <f t="shared" si="9"/>
        <v> </v>
      </c>
      <c r="T10" s="47" t="str">
        <f t="shared" si="10"/>
        <v> </v>
      </c>
    </row>
    <row r="11" spans="1:20" ht="12.75">
      <c r="A11" s="41">
        <v>38545</v>
      </c>
      <c r="B11" s="42">
        <v>0.483333333333333</v>
      </c>
      <c r="C11" s="43">
        <v>470</v>
      </c>
      <c r="D11" s="43">
        <v>300</v>
      </c>
      <c r="E11" s="43">
        <v>2</v>
      </c>
      <c r="F11" s="43">
        <v>0</v>
      </c>
      <c r="G11" s="43">
        <v>10</v>
      </c>
      <c r="H11" s="43">
        <v>4785</v>
      </c>
      <c r="I11" s="44">
        <v>0</v>
      </c>
      <c r="J11" s="6" t="str">
        <f t="shared" si="0"/>
        <v> </v>
      </c>
      <c r="K11" s="6" t="str">
        <f t="shared" si="1"/>
        <v> </v>
      </c>
      <c r="L11" s="6" t="str">
        <f t="shared" si="2"/>
        <v> </v>
      </c>
      <c r="M11" s="6" t="str">
        <f t="shared" si="3"/>
        <v> </v>
      </c>
      <c r="N11" s="6" t="str">
        <f t="shared" si="4"/>
        <v> </v>
      </c>
      <c r="O11" s="6" t="str">
        <f t="shared" si="5"/>
        <v> </v>
      </c>
      <c r="P11" s="6" t="str">
        <f t="shared" si="6"/>
        <v> </v>
      </c>
      <c r="Q11" s="7" t="str">
        <f t="shared" si="7"/>
        <v> </v>
      </c>
      <c r="R11" s="45" t="str">
        <f t="shared" si="8"/>
        <v> </v>
      </c>
      <c r="S11" s="46" t="str">
        <f t="shared" si="9"/>
        <v> </v>
      </c>
      <c r="T11" s="47" t="str">
        <f t="shared" si="10"/>
        <v> </v>
      </c>
    </row>
    <row r="12" spans="1:20" ht="12.75">
      <c r="A12" s="41">
        <v>38545</v>
      </c>
      <c r="B12" s="42">
        <v>0.491666666666666</v>
      </c>
      <c r="C12" s="43">
        <v>470</v>
      </c>
      <c r="D12" s="43">
        <v>300</v>
      </c>
      <c r="E12" s="43">
        <v>2</v>
      </c>
      <c r="F12" s="43">
        <v>0</v>
      </c>
      <c r="G12" s="43">
        <v>10</v>
      </c>
      <c r="H12" s="43">
        <v>4796</v>
      </c>
      <c r="I12" s="44">
        <v>1</v>
      </c>
      <c r="J12" s="6">
        <f t="shared" si="0"/>
        <v>95.92</v>
      </c>
      <c r="K12" s="6">
        <f t="shared" si="1"/>
        <v>47.96</v>
      </c>
      <c r="L12" s="6">
        <f t="shared" si="2"/>
        <v>94</v>
      </c>
      <c r="M12" s="6">
        <f t="shared" si="3"/>
        <v>0.010638297872340425</v>
      </c>
      <c r="N12" s="6">
        <f t="shared" si="4"/>
        <v>0.00011317338162064282</v>
      </c>
      <c r="O12" s="6">
        <f t="shared" si="5"/>
        <v>0.5102127659574468</v>
      </c>
      <c r="P12" s="6">
        <f t="shared" si="6"/>
        <v>0.00542779538252603</v>
      </c>
      <c r="Q12" s="7">
        <f t="shared" si="7"/>
        <v>0.2603170665459484</v>
      </c>
      <c r="R12" s="45">
        <f t="shared" si="8"/>
        <v>94.71095400422087</v>
      </c>
      <c r="S12" s="46">
        <f t="shared" si="9"/>
        <v>0.007563340470434721</v>
      </c>
      <c r="T12" s="47">
        <f t="shared" si="10"/>
        <v>0.020425531914893602</v>
      </c>
    </row>
    <row r="13" spans="1:20" ht="12.75">
      <c r="A13" s="41">
        <v>38545</v>
      </c>
      <c r="B13" s="42">
        <v>0.5</v>
      </c>
      <c r="C13" s="43">
        <v>470</v>
      </c>
      <c r="D13" s="43">
        <v>300</v>
      </c>
      <c r="E13" s="43">
        <v>2</v>
      </c>
      <c r="F13" s="43">
        <v>0</v>
      </c>
      <c r="G13" s="43">
        <v>10</v>
      </c>
      <c r="H13" s="43">
        <v>4713</v>
      </c>
      <c r="I13" s="44">
        <v>0</v>
      </c>
      <c r="J13" s="6" t="str">
        <f t="shared" si="0"/>
        <v> </v>
      </c>
      <c r="K13" s="6" t="str">
        <f t="shared" si="1"/>
        <v> </v>
      </c>
      <c r="L13" s="6" t="str">
        <f t="shared" si="2"/>
        <v> </v>
      </c>
      <c r="M13" s="6" t="str">
        <f t="shared" si="3"/>
        <v> </v>
      </c>
      <c r="N13" s="6" t="str">
        <f t="shared" si="4"/>
        <v> </v>
      </c>
      <c r="O13" s="6" t="str">
        <f t="shared" si="5"/>
        <v> </v>
      </c>
      <c r="P13" s="6" t="str">
        <f t="shared" si="6"/>
        <v> </v>
      </c>
      <c r="Q13" s="7" t="str">
        <f t="shared" si="7"/>
        <v> </v>
      </c>
      <c r="R13" s="45" t="str">
        <f t="shared" si="8"/>
        <v> </v>
      </c>
      <c r="S13" s="46" t="str">
        <f t="shared" si="9"/>
        <v> </v>
      </c>
      <c r="T13" s="47" t="str">
        <f t="shared" si="10"/>
        <v> </v>
      </c>
    </row>
    <row r="14" spans="1:20" ht="12.75">
      <c r="A14" s="41">
        <v>38545</v>
      </c>
      <c r="B14" s="42">
        <v>0.508333333333333</v>
      </c>
      <c r="C14" s="43">
        <v>470</v>
      </c>
      <c r="D14" s="43">
        <v>300</v>
      </c>
      <c r="E14" s="43">
        <v>2</v>
      </c>
      <c r="F14" s="43">
        <v>0</v>
      </c>
      <c r="G14" s="43">
        <v>10</v>
      </c>
      <c r="H14" s="43">
        <v>4717</v>
      </c>
      <c r="I14" s="44">
        <v>1</v>
      </c>
      <c r="J14" s="6">
        <f t="shared" si="0"/>
        <v>94.34</v>
      </c>
      <c r="K14" s="6">
        <f t="shared" si="1"/>
        <v>47.17</v>
      </c>
      <c r="L14" s="6">
        <f t="shared" si="2"/>
        <v>94</v>
      </c>
      <c r="M14" s="6">
        <f t="shared" si="3"/>
        <v>0.010638297872340425</v>
      </c>
      <c r="N14" s="6">
        <f t="shared" si="4"/>
        <v>0.00011317338162064282</v>
      </c>
      <c r="O14" s="6">
        <f t="shared" si="5"/>
        <v>0.5018085106382979</v>
      </c>
      <c r="P14" s="6">
        <f t="shared" si="6"/>
        <v>0.005338388411045722</v>
      </c>
      <c r="Q14" s="7">
        <f t="shared" si="7"/>
        <v>0.25181178134902676</v>
      </c>
      <c r="R14" s="45">
        <f t="shared" si="8"/>
        <v>93.12353438933798</v>
      </c>
      <c r="S14" s="46">
        <f t="shared" si="9"/>
        <v>-0.009324102241085375</v>
      </c>
      <c r="T14" s="47">
        <f t="shared" si="10"/>
        <v>0.0036170212765958</v>
      </c>
    </row>
    <row r="15" spans="1:20" ht="12.75">
      <c r="A15" s="41">
        <v>38545</v>
      </c>
      <c r="B15" s="42">
        <v>0.516666666666666</v>
      </c>
      <c r="C15" s="43">
        <v>470</v>
      </c>
      <c r="D15" s="43">
        <v>300</v>
      </c>
      <c r="E15" s="43">
        <v>2</v>
      </c>
      <c r="F15" s="43">
        <v>0</v>
      </c>
      <c r="G15" s="43">
        <v>10</v>
      </c>
      <c r="H15" s="43">
        <v>4796</v>
      </c>
      <c r="I15" s="44">
        <v>1</v>
      </c>
      <c r="J15" s="6">
        <f t="shared" si="0"/>
        <v>95.92</v>
      </c>
      <c r="K15" s="6">
        <f t="shared" si="1"/>
        <v>47.96</v>
      </c>
      <c r="L15" s="6">
        <f t="shared" si="2"/>
        <v>94</v>
      </c>
      <c r="M15" s="6">
        <f t="shared" si="3"/>
        <v>0.010638297872340425</v>
      </c>
      <c r="N15" s="6">
        <f t="shared" si="4"/>
        <v>0.00011317338162064282</v>
      </c>
      <c r="O15" s="6">
        <f t="shared" si="5"/>
        <v>0.5102127659574468</v>
      </c>
      <c r="P15" s="6">
        <f t="shared" si="6"/>
        <v>0.00542779538252603</v>
      </c>
      <c r="Q15" s="7">
        <f t="shared" si="7"/>
        <v>0.2603170665459484</v>
      </c>
      <c r="R15" s="45">
        <f t="shared" si="8"/>
        <v>94.71095400422087</v>
      </c>
      <c r="S15" s="46">
        <f t="shared" si="9"/>
        <v>0.007563340470434721</v>
      </c>
      <c r="T15" s="47">
        <f t="shared" si="10"/>
        <v>0.020425531914893602</v>
      </c>
    </row>
    <row r="16" spans="1:20" ht="12.75">
      <c r="A16" s="41">
        <v>38545</v>
      </c>
      <c r="B16" s="42">
        <v>0.525</v>
      </c>
      <c r="C16" s="43">
        <v>470</v>
      </c>
      <c r="D16" s="43">
        <v>300</v>
      </c>
      <c r="E16" s="43">
        <v>2</v>
      </c>
      <c r="F16" s="43">
        <v>0</v>
      </c>
      <c r="G16" s="43">
        <v>10</v>
      </c>
      <c r="H16" s="43">
        <v>4784</v>
      </c>
      <c r="I16" s="44">
        <v>0</v>
      </c>
      <c r="J16" s="6" t="str">
        <f t="shared" si="0"/>
        <v> </v>
      </c>
      <c r="K16" s="6" t="str">
        <f t="shared" si="1"/>
        <v> </v>
      </c>
      <c r="L16" s="6" t="str">
        <f t="shared" si="2"/>
        <v> </v>
      </c>
      <c r="M16" s="6" t="str">
        <f t="shared" si="3"/>
        <v> </v>
      </c>
      <c r="N16" s="6" t="str">
        <f t="shared" si="4"/>
        <v> </v>
      </c>
      <c r="O16" s="6" t="str">
        <f t="shared" si="5"/>
        <v> </v>
      </c>
      <c r="P16" s="6" t="str">
        <f t="shared" si="6"/>
        <v> </v>
      </c>
      <c r="Q16" s="7" t="str">
        <f t="shared" si="7"/>
        <v> </v>
      </c>
      <c r="R16" s="45" t="str">
        <f t="shared" si="8"/>
        <v> </v>
      </c>
      <c r="S16" s="46" t="str">
        <f t="shared" si="9"/>
        <v> </v>
      </c>
      <c r="T16" s="47" t="str">
        <f t="shared" si="10"/>
        <v> </v>
      </c>
    </row>
    <row r="17" spans="1:20" ht="12.75">
      <c r="A17" s="41">
        <v>38545</v>
      </c>
      <c r="B17" s="42">
        <v>0.533333333333333</v>
      </c>
      <c r="C17" s="43">
        <v>470</v>
      </c>
      <c r="D17" s="43">
        <v>300</v>
      </c>
      <c r="E17" s="43">
        <v>2</v>
      </c>
      <c r="F17" s="43">
        <v>0</v>
      </c>
      <c r="G17" s="43">
        <v>10</v>
      </c>
      <c r="H17" s="43">
        <v>4752</v>
      </c>
      <c r="I17" s="44">
        <v>1</v>
      </c>
      <c r="J17" s="6">
        <f t="shared" si="0"/>
        <v>95.04</v>
      </c>
      <c r="K17" s="6">
        <f t="shared" si="1"/>
        <v>47.52</v>
      </c>
      <c r="L17" s="6">
        <f t="shared" si="2"/>
        <v>94</v>
      </c>
      <c r="M17" s="6">
        <f t="shared" si="3"/>
        <v>0.010638297872340425</v>
      </c>
      <c r="N17" s="6">
        <f t="shared" si="4"/>
        <v>0.00011317338162064282</v>
      </c>
      <c r="O17" s="6">
        <f t="shared" si="5"/>
        <v>0.505531914893617</v>
      </c>
      <c r="P17" s="6">
        <f t="shared" si="6"/>
        <v>0.005377999094612947</v>
      </c>
      <c r="Q17" s="7">
        <f t="shared" si="7"/>
        <v>0.2555625169760073</v>
      </c>
      <c r="R17" s="45">
        <f t="shared" si="8"/>
        <v>93.82682156048863</v>
      </c>
      <c r="S17" s="46">
        <f t="shared" si="9"/>
        <v>-0.0018423238245890428</v>
      </c>
      <c r="T17" s="47">
        <f t="shared" si="10"/>
        <v>0.01106382978723408</v>
      </c>
    </row>
    <row r="18" spans="1:20" ht="12.75">
      <c r="A18" s="41">
        <v>38545</v>
      </c>
      <c r="B18" s="42">
        <v>0.541666666666667</v>
      </c>
      <c r="C18" s="43">
        <v>470</v>
      </c>
      <c r="D18" s="43">
        <v>300</v>
      </c>
      <c r="E18" s="43">
        <v>2</v>
      </c>
      <c r="F18" s="43">
        <v>0</v>
      </c>
      <c r="G18" s="43">
        <v>10</v>
      </c>
      <c r="H18" s="43">
        <v>4777</v>
      </c>
      <c r="I18" s="44">
        <v>0</v>
      </c>
      <c r="J18" s="6" t="str">
        <f t="shared" si="0"/>
        <v> </v>
      </c>
      <c r="K18" s="6" t="str">
        <f t="shared" si="1"/>
        <v> </v>
      </c>
      <c r="L18" s="6" t="str">
        <f t="shared" si="2"/>
        <v> </v>
      </c>
      <c r="M18" s="6" t="str">
        <f t="shared" si="3"/>
        <v> </v>
      </c>
      <c r="N18" s="6" t="str">
        <f t="shared" si="4"/>
        <v> </v>
      </c>
      <c r="O18" s="6" t="str">
        <f t="shared" si="5"/>
        <v> </v>
      </c>
      <c r="P18" s="6" t="str">
        <f t="shared" si="6"/>
        <v> </v>
      </c>
      <c r="Q18" s="7" t="str">
        <f t="shared" si="7"/>
        <v> </v>
      </c>
      <c r="R18" s="45" t="str">
        <f t="shared" si="8"/>
        <v> </v>
      </c>
      <c r="S18" s="46" t="str">
        <f t="shared" si="9"/>
        <v> </v>
      </c>
      <c r="T18" s="47" t="str">
        <f t="shared" si="10"/>
        <v> </v>
      </c>
    </row>
    <row r="19" spans="1:20" ht="12.75">
      <c r="A19" s="41">
        <v>38545</v>
      </c>
      <c r="B19" s="42">
        <v>0.55</v>
      </c>
      <c r="C19" s="43">
        <v>470</v>
      </c>
      <c r="D19" s="43">
        <v>300</v>
      </c>
      <c r="E19" s="43">
        <v>2</v>
      </c>
      <c r="F19" s="43">
        <v>0</v>
      </c>
      <c r="G19" s="43">
        <v>10</v>
      </c>
      <c r="H19" s="43">
        <v>4763</v>
      </c>
      <c r="I19" s="44">
        <v>0</v>
      </c>
      <c r="J19" s="6" t="str">
        <f t="shared" si="0"/>
        <v> </v>
      </c>
      <c r="K19" s="6" t="str">
        <f t="shared" si="1"/>
        <v> </v>
      </c>
      <c r="L19" s="6" t="str">
        <f t="shared" si="2"/>
        <v> </v>
      </c>
      <c r="M19" s="6" t="str">
        <f t="shared" si="3"/>
        <v> </v>
      </c>
      <c r="N19" s="6" t="str">
        <f t="shared" si="4"/>
        <v> </v>
      </c>
      <c r="O19" s="6" t="str">
        <f t="shared" si="5"/>
        <v> </v>
      </c>
      <c r="P19" s="6" t="str">
        <f t="shared" si="6"/>
        <v> </v>
      </c>
      <c r="Q19" s="7" t="str">
        <f t="shared" si="7"/>
        <v> </v>
      </c>
      <c r="R19" s="45" t="str">
        <f t="shared" si="8"/>
        <v> </v>
      </c>
      <c r="S19" s="46" t="str">
        <f t="shared" si="9"/>
        <v> </v>
      </c>
      <c r="T19" s="47" t="str">
        <f t="shared" si="10"/>
        <v> </v>
      </c>
    </row>
    <row r="20" spans="1:9" ht="12.75">
      <c r="A20" s="3"/>
      <c r="B20" s="4"/>
      <c r="C20" s="2"/>
      <c r="D20" s="2"/>
      <c r="E20" s="2"/>
      <c r="F20" s="2"/>
      <c r="G20" s="2"/>
      <c r="H20" s="2"/>
      <c r="I20" s="2"/>
    </row>
    <row r="21" spans="1:17" ht="12.75">
      <c r="A21" s="50" t="s">
        <v>13</v>
      </c>
      <c r="B21" s="50"/>
      <c r="C21" s="50"/>
      <c r="E21" s="11"/>
      <c r="F21" s="11"/>
      <c r="G21" s="11"/>
      <c r="H21" s="11"/>
      <c r="I21" s="11"/>
      <c r="J21" s="11"/>
      <c r="K21" s="11"/>
      <c r="L21" s="11" t="s">
        <v>12</v>
      </c>
      <c r="M21" s="8">
        <f>SUMIF($I3:$I19,"&lt;&gt;0",M3:M19)</f>
        <v>0.08292903999382605</v>
      </c>
      <c r="N21" s="8">
        <f>SUMIF($I3:$I19,"&lt;&gt;0",N3:N19)</f>
        <v>0.0007698681328584476</v>
      </c>
      <c r="O21" s="8">
        <f>SUMIF($I3:$I19,"&lt;&gt;0",O3:O19)</f>
        <v>5.0449114058862605</v>
      </c>
      <c r="P21" s="8">
        <f>SUMIF($I3:$I19,"&lt;&gt;0",P3:P19)</f>
        <v>0.041906520000101796</v>
      </c>
      <c r="Q21" s="8">
        <f>SUMIF($I3:$I19,"&lt;&gt;0",Q3:Q19)</f>
        <v>2.5452747629644974</v>
      </c>
    </row>
    <row r="22" spans="1:17" ht="12.75">
      <c r="A22" s="48" t="s">
        <v>10</v>
      </c>
      <c r="B22" s="48">
        <f>(N21*O21-M21*P21)/(N21*Q21-P21*P21)</f>
        <v>2.0093919175732857</v>
      </c>
      <c r="M22" s="8" t="s">
        <v>5</v>
      </c>
      <c r="N22" s="8" t="s">
        <v>6</v>
      </c>
      <c r="O22" s="8" t="s">
        <v>7</v>
      </c>
      <c r="P22" s="8" t="s">
        <v>8</v>
      </c>
      <c r="Q22" s="8" t="s">
        <v>9</v>
      </c>
    </row>
    <row r="23" spans="1:2" ht="12.75">
      <c r="A23" s="48" t="s">
        <v>11</v>
      </c>
      <c r="B23" s="48">
        <f>(M21*Q21-O21*P21)/(N21*Q21-P21*P21)</f>
        <v>-1.6594823625939206</v>
      </c>
    </row>
    <row r="24" ht="15.75">
      <c r="A24" s="9" t="s">
        <v>16</v>
      </c>
    </row>
    <row r="25" ht="15.75">
      <c r="A25" s="10" t="s">
        <v>57</v>
      </c>
    </row>
    <row r="26" spans="1:2" ht="15.75">
      <c r="A26" s="49"/>
      <c r="B26" s="49" t="s">
        <v>58</v>
      </c>
    </row>
    <row r="27" spans="1:2" ht="15.75">
      <c r="A27" s="49"/>
      <c r="B27" s="49" t="s">
        <v>59</v>
      </c>
    </row>
    <row r="28" spans="1:2" ht="15.75">
      <c r="A28" s="49"/>
      <c r="B28" s="49" t="s">
        <v>60</v>
      </c>
    </row>
    <row r="29" spans="1:2" ht="15.75">
      <c r="A29" s="49"/>
      <c r="B29" s="49" t="s">
        <v>61</v>
      </c>
    </row>
    <row r="30" spans="1:2" ht="15.75">
      <c r="A30" s="49"/>
      <c r="B30" s="49" t="s">
        <v>62</v>
      </c>
    </row>
    <row r="31" spans="1:2" ht="15.75">
      <c r="A31" s="49"/>
      <c r="B31" s="49" t="s">
        <v>63</v>
      </c>
    </row>
    <row r="32" spans="1:2" ht="15.75">
      <c r="A32" s="49"/>
      <c r="B32" s="49" t="s">
        <v>64</v>
      </c>
    </row>
    <row r="33" spans="1:2" ht="15.75">
      <c r="A33" s="49"/>
      <c r="B33" s="49" t="s">
        <v>65</v>
      </c>
    </row>
    <row r="34" ht="15.75">
      <c r="A34" s="10" t="s">
        <v>17</v>
      </c>
    </row>
    <row r="35" ht="15.75">
      <c r="A35" s="10" t="s">
        <v>18</v>
      </c>
    </row>
    <row r="36" ht="15.75">
      <c r="A36" s="10" t="s">
        <v>19</v>
      </c>
    </row>
  </sheetData>
  <sheetProtection/>
  <printOptions/>
  <pageMargins left="0.5905511811023623" right="0.3937007874015748" top="0.7874015748031497" bottom="0.7874015748031497" header="0.5118110236220472" footer="0.5118110236220472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Vzljot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Гнедов</dc:creator>
  <cp:keywords/>
  <dc:description/>
  <cp:lastModifiedBy>gnedov</cp:lastModifiedBy>
  <cp:lastPrinted>2005-07-14T14:31:27Z</cp:lastPrinted>
  <dcterms:created xsi:type="dcterms:W3CDTF">2005-07-12T12:34:34Z</dcterms:created>
  <dcterms:modified xsi:type="dcterms:W3CDTF">2012-11-16T16:21:39Z</dcterms:modified>
  <cp:category/>
  <cp:version/>
  <cp:contentType/>
  <cp:contentStatus/>
</cp:coreProperties>
</file>